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0" yWindow="75" windowWidth="19980" windowHeight="8145" activeTab="1"/>
  </bookViews>
  <sheets>
    <sheet name="Presentation" sheetId="3" r:id="rId1"/>
    <sheet name="Fiche de Personnage" sheetId="13" r:id="rId2"/>
    <sheet name="Liste" sheetId="15" r:id="rId3"/>
    <sheet name="Combo" sheetId="14" r:id="rId4"/>
    <sheet name="MISC" sheetId="12" r:id="rId5"/>
    <sheet name="C&amp;T&amp;E" sheetId="16" r:id="rId6"/>
    <sheet name="Armes" sheetId="18" r:id="rId7"/>
    <sheet name="Stat" sheetId="17" r:id="rId8"/>
  </sheets>
  <definedNames>
    <definedName name="Ag">'Fiche de Personnage'!$Q$19</definedName>
    <definedName name="Arme">MISC!$A$142:$A$184</definedName>
    <definedName name="ArmeAttribut">Liste!$Q$2:$Q$16</definedName>
    <definedName name="ArmeC1">Combo!$C$118:$C$121</definedName>
    <definedName name="ArmeC2">Combo!$D$118:$D$121</definedName>
    <definedName name="ArmeC3">Combo!$E$118:$E$121</definedName>
    <definedName name="ArmeGroupe">Liste!$R$2:$R$16</definedName>
    <definedName name="ArmureBras">MISC!$P$17</definedName>
    <definedName name="ArmureCorps">MISC!$P$18</definedName>
    <definedName name="ArmureJambe">MISC!$P$19</definedName>
    <definedName name="ArmureTete">MISC!$P$16</definedName>
    <definedName name="BF">MISC!$AJ$2</definedName>
    <definedName name="Carriere1">'Fiche de Personnage'!$B$8</definedName>
    <definedName name="Carriere2">'Fiche de Personnage'!$I$8</definedName>
    <definedName name="Carriere3">'Fiche de Personnage'!$P$8</definedName>
    <definedName name="CarriereAleaElfe">Liste!$D$2</definedName>
    <definedName name="CarriereAleaHalfling">Liste!$E$2</definedName>
    <definedName name="CarriereAleaHumain">Liste!$F$2</definedName>
    <definedName name="CarriereAleaNain">Liste!$G$2</definedName>
    <definedName name="CarriereBaseElfe">Liste!$D$3:$D$18</definedName>
    <definedName name="CarriereBaseHalfling">Liste!$E$3:$E$33</definedName>
    <definedName name="CarriereBaseHumain">Liste!$F$3:$F$56</definedName>
    <definedName name="CarriereBaseNain">Liste!$G$3:$G$33</definedName>
    <definedName name="CC">'Fiche de Personnage'!$I$19</definedName>
    <definedName name="CompetenceAvanceBrute">Combo!$B$34:$E$52</definedName>
    <definedName name="CompetenceAvanceC0">Combo!$B$34:$B$52</definedName>
    <definedName name="CompetenceAvanceC1">Combo!$C$34:$C$52</definedName>
    <definedName name="CompetenceAvanceC2">Combo!$D$34:$D$52</definedName>
    <definedName name="CompetenceAvanceC3">Combo!$E$34:$E$52</definedName>
    <definedName name="CompetenceAvancéFinal">#REF!</definedName>
    <definedName name="CompetenceBaseBrute">Combo!$B$14:$E$33</definedName>
    <definedName name="CompetenceBaseC0">Combo!$B$14:$B$33</definedName>
    <definedName name="CompetenceBaseC1">Combo!$C$14:$C$33</definedName>
    <definedName name="CompetenceBaseC2">Combo!$D$14:$D$33</definedName>
    <definedName name="CompetenceBaseC3">Combo!$E$14:$E$33</definedName>
    <definedName name="CompetenceElfe">#REF!</definedName>
    <definedName name="CompetenceHalfling">#REF!</definedName>
    <definedName name="CompetenceHumain">#REF!</definedName>
    <definedName name="CompetenceNain">#REF!</definedName>
    <definedName name="CT">'Fiche de Personnage'!$K$19</definedName>
    <definedName name="Disponibilité">Liste!$S$2:$S$9</definedName>
    <definedName name="E">'Fiche de Personnage'!$O$19</definedName>
    <definedName name="EquipementC0">Combo!$B$72:$B$91</definedName>
    <definedName name="EquipementC1">Combo!$C$72:$C$91</definedName>
    <definedName name="EquipementC2">Combo!$D$72:$D$91</definedName>
    <definedName name="EquipementC3">Combo!$E$72:$E$91</definedName>
    <definedName name="EquipementFinal">'C&amp;T&amp;E'!$T$91</definedName>
    <definedName name="Experience">Combo!$C$14:$E$71</definedName>
    <definedName name="F">'Fiche de Personnage'!$M$19</definedName>
    <definedName name="FD">'Fiche de Personnage'!$M$20</definedName>
    <definedName name="FM">'Fiche de Personnage'!$U$19</definedName>
    <definedName name="Global">Combo!$H$14:$DP$116</definedName>
    <definedName name="Int">'Fiche de Personnage'!$S$19</definedName>
    <definedName name="IntD">'Fiche de Personnage'!$S$20</definedName>
    <definedName name="JetManuel">'Fiche de Personnage'!$F$5</definedName>
    <definedName name="ListeCarriere">Liste!$C$2:$C$115</definedName>
    <definedName name="ListeCarriereBase">Liste!$B$3:$B$62</definedName>
    <definedName name="ListeCompetence">Liste!$H$2:$H$123</definedName>
    <definedName name="ListeCompetenceAvance">Liste!$K$2:$K$102</definedName>
    <definedName name="ListeCompetenceBase">Liste!$J$2:$J$22</definedName>
    <definedName name="ListeCompetenceCarac">Liste!$I$2:$I$113</definedName>
    <definedName name="ListeEquipement">Liste!$A$2:$A$201</definedName>
    <definedName name="ListeRace">Liste!$O$3:$O$6</definedName>
    <definedName name="ListeSexe">Liste!$P$3:$P$4</definedName>
    <definedName name="ListeTalent">Liste!$L$2:$L$95</definedName>
    <definedName name="ListeTalentHalfling">Liste!$N$3:$N$24</definedName>
    <definedName name="ListeTalentHumain">Liste!$M$3:$M$25</definedName>
    <definedName name="NbArme">'C&amp;T&amp;E'!$AD$118</definedName>
    <definedName name="NbCarriere">MISC!$C$4</definedName>
    <definedName name="NbCompetenceAvance">'C&amp;T&amp;E'!$AD$2</definedName>
    <definedName name="ParcoursC1">Combo!$C$92:$C$117</definedName>
    <definedName name="ParcoursC2">Combo!$D$92:$D$117</definedName>
    <definedName name="ParcoursC3">Combo!$E$92:$E$117</definedName>
    <definedName name="Race">'Fiche de Personnage'!$F$2</definedName>
    <definedName name="Sexe">'Fiche de Personnage'!$F$3</definedName>
    <definedName name="Soc">'Fiche de Personnage'!$W$19</definedName>
    <definedName name="TalentBrute">Combo!$B$53:$E$71</definedName>
    <definedName name="TalentC0">Combo!$B$53:$B$71</definedName>
    <definedName name="TalentC1">Combo!$C$53:$C$71</definedName>
    <definedName name="TalentC2">Combo!$D$53:$D$71</definedName>
    <definedName name="TalentC3">Combo!$E$53:$E$71</definedName>
    <definedName name="TalentElfe">#REF!</definedName>
    <definedName name="TalentFinal">'C&amp;T&amp;E'!$T$71</definedName>
    <definedName name="TalentHalfling">#REF!</definedName>
    <definedName name="_xlnm.Print_Area" localSheetId="1">'Fiche de Personnage'!$A$1:$AP$64</definedName>
    <definedName name="ZoneCarac">MISC!$C$3</definedName>
  </definedNames>
  <calcPr calcId="125725"/>
</workbook>
</file>

<file path=xl/calcChain.xml><?xml version="1.0" encoding="utf-8"?>
<calcChain xmlns="http://schemas.openxmlformats.org/spreadsheetml/2006/main">
  <c r="W13" i="13"/>
  <c r="U13"/>
  <c r="S13"/>
  <c r="Q13"/>
  <c r="O13"/>
  <c r="M13"/>
  <c r="K13"/>
  <c r="I13"/>
  <c r="B8" i="17" l="1"/>
  <c r="AF45" i="13" l="1"/>
  <c r="AF46"/>
  <c r="AF47"/>
  <c r="AC45"/>
  <c r="AC46"/>
  <c r="AC47"/>
  <c r="AA45"/>
  <c r="AA46"/>
  <c r="AA47"/>
  <c r="AR10" i="18"/>
  <c r="AQ10"/>
  <c r="AP10"/>
  <c r="AO10"/>
  <c r="AN10"/>
  <c r="AM10"/>
  <c r="AL10"/>
  <c r="AK10"/>
  <c r="AJ10"/>
  <c r="AI10"/>
  <c r="AH10"/>
  <c r="AG10"/>
  <c r="AF10"/>
  <c r="AE10"/>
  <c r="AD10"/>
  <c r="AC10"/>
  <c r="AB10"/>
  <c r="AA10"/>
  <c r="Z10"/>
  <c r="Y10"/>
  <c r="X10"/>
  <c r="W10"/>
  <c r="V10"/>
  <c r="U10"/>
  <c r="T10"/>
  <c r="S10"/>
  <c r="AJ45" i="13" s="1"/>
  <c r="R10" i="18"/>
  <c r="Q10"/>
  <c r="AJ47" i="13" s="1"/>
  <c r="P10" i="18"/>
  <c r="O10"/>
  <c r="N10"/>
  <c r="M10"/>
  <c r="L10"/>
  <c r="K10"/>
  <c r="AJ46" i="13" s="1"/>
  <c r="J10" i="18"/>
  <c r="I10"/>
  <c r="H10"/>
  <c r="G10"/>
  <c r="F10"/>
  <c r="E10"/>
  <c r="D10"/>
  <c r="C10"/>
  <c r="B81" i="14"/>
  <c r="C81"/>
  <c r="D81"/>
  <c r="E81"/>
  <c r="B82"/>
  <c r="C82"/>
  <c r="D82"/>
  <c r="E82"/>
  <c r="B83"/>
  <c r="C83"/>
  <c r="D83"/>
  <c r="E83"/>
  <c r="B84"/>
  <c r="C84"/>
  <c r="D84"/>
  <c r="E84"/>
  <c r="B85"/>
  <c r="C85"/>
  <c r="D85"/>
  <c r="E85"/>
  <c r="B86"/>
  <c r="C86"/>
  <c r="D86"/>
  <c r="E86"/>
  <c r="B87"/>
  <c r="C87"/>
  <c r="D87"/>
  <c r="E87"/>
  <c r="B88"/>
  <c r="C88"/>
  <c r="D88"/>
  <c r="E88"/>
  <c r="B89"/>
  <c r="C89"/>
  <c r="D89"/>
  <c r="E89"/>
  <c r="B90"/>
  <c r="C90"/>
  <c r="D90"/>
  <c r="E90"/>
  <c r="B91"/>
  <c r="C91"/>
  <c r="D91"/>
  <c r="E91"/>
  <c r="B92"/>
  <c r="C92"/>
  <c r="D92"/>
  <c r="E92"/>
  <c r="B93"/>
  <c r="C93"/>
  <c r="D93"/>
  <c r="E93"/>
  <c r="B94"/>
  <c r="C94"/>
  <c r="D94"/>
  <c r="E94"/>
  <c r="B95"/>
  <c r="C95"/>
  <c r="D95"/>
  <c r="E95"/>
  <c r="B96"/>
  <c r="C96"/>
  <c r="D96"/>
  <c r="E96"/>
  <c r="B97"/>
  <c r="C97"/>
  <c r="D97"/>
  <c r="E97"/>
  <c r="B98"/>
  <c r="C98"/>
  <c r="D98"/>
  <c r="E98"/>
  <c r="B99"/>
  <c r="C99"/>
  <c r="D99"/>
  <c r="E99"/>
  <c r="B100"/>
  <c r="C100"/>
  <c r="D100"/>
  <c r="E100"/>
  <c r="B101"/>
  <c r="C101"/>
  <c r="D101"/>
  <c r="E101"/>
  <c r="B102"/>
  <c r="C102"/>
  <c r="D102"/>
  <c r="E102"/>
  <c r="B103"/>
  <c r="C103"/>
  <c r="D103"/>
  <c r="E103"/>
  <c r="B104"/>
  <c r="C104"/>
  <c r="D104"/>
  <c r="E104"/>
  <c r="B105"/>
  <c r="C105"/>
  <c r="D105"/>
  <c r="E105"/>
  <c r="B106"/>
  <c r="C106"/>
  <c r="D106"/>
  <c r="E106"/>
  <c r="B107"/>
  <c r="C107"/>
  <c r="D107"/>
  <c r="E107"/>
  <c r="B108"/>
  <c r="C108"/>
  <c r="D108"/>
  <c r="E108"/>
  <c r="B109"/>
  <c r="C109"/>
  <c r="D109"/>
  <c r="E109"/>
  <c r="B110"/>
  <c r="C110"/>
  <c r="D110"/>
  <c r="E110"/>
  <c r="B111"/>
  <c r="C111"/>
  <c r="D111"/>
  <c r="E111"/>
  <c r="B112"/>
  <c r="C112"/>
  <c r="D112"/>
  <c r="E112"/>
  <c r="B113"/>
  <c r="C113"/>
  <c r="D113"/>
  <c r="E113"/>
  <c r="B114"/>
  <c r="C114"/>
  <c r="D114"/>
  <c r="E114"/>
  <c r="B115"/>
  <c r="C115"/>
  <c r="D115"/>
  <c r="E115"/>
  <c r="B116"/>
  <c r="C116"/>
  <c r="D116"/>
  <c r="E116"/>
  <c r="B117"/>
  <c r="C117"/>
  <c r="D117"/>
  <c r="E117"/>
  <c r="B122"/>
  <c r="D122"/>
  <c r="E122"/>
  <c r="B118"/>
  <c r="C118"/>
  <c r="J118" i="16" s="1"/>
  <c r="L118" s="1"/>
  <c r="D118" i="14"/>
  <c r="N118" i="16" s="1"/>
  <c r="E118" i="14"/>
  <c r="R118" i="16" s="1"/>
  <c r="B119" i="14"/>
  <c r="C119"/>
  <c r="J119" i="16" s="1"/>
  <c r="K119" s="1"/>
  <c r="D119" i="14"/>
  <c r="N119" i="16" s="1"/>
  <c r="E119" i="14"/>
  <c r="R119" i="16" s="1"/>
  <c r="B120" i="14"/>
  <c r="C120"/>
  <c r="J120" i="16" s="1"/>
  <c r="K120" s="1"/>
  <c r="D120" i="14"/>
  <c r="N120" i="16" s="1"/>
  <c r="E120" i="14"/>
  <c r="R120" i="16" s="1"/>
  <c r="B121" i="14"/>
  <c r="C121"/>
  <c r="J121" i="16" s="1"/>
  <c r="K121" s="1"/>
  <c r="D121" i="14"/>
  <c r="N121" i="16" s="1"/>
  <c r="E121" i="14"/>
  <c r="R121" i="16" s="1"/>
  <c r="AX122" i="14"/>
  <c r="AK122"/>
  <c r="K122"/>
  <c r="C122" s="1"/>
  <c r="O121" i="16" l="1"/>
  <c r="O120"/>
  <c r="O119"/>
  <c r="O118"/>
  <c r="S120"/>
  <c r="S118"/>
  <c r="K118"/>
  <c r="S121"/>
  <c r="S119"/>
  <c r="L119"/>
  <c r="L120" s="1"/>
  <c r="L121" s="1"/>
  <c r="M118" s="1"/>
  <c r="AE58" i="13"/>
  <c r="H3" i="17"/>
  <c r="H4"/>
  <c r="H5"/>
  <c r="H6"/>
  <c r="H7"/>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2"/>
  <c r="B3"/>
  <c r="B4"/>
  <c r="B5"/>
  <c r="B6"/>
  <c r="B7"/>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2"/>
  <c r="G52" i="16"/>
  <c r="P118" l="1"/>
  <c r="AD118"/>
  <c r="B72" i="14"/>
  <c r="B73"/>
  <c r="B74"/>
  <c r="B75"/>
  <c r="B76"/>
  <c r="B77"/>
  <c r="B78"/>
  <c r="B79"/>
  <c r="B80"/>
  <c r="R1" i="16"/>
  <c r="N1"/>
  <c r="J1"/>
  <c r="F1"/>
  <c r="S52" i="13" l="1"/>
  <c r="AC52" s="1"/>
  <c r="S53"/>
  <c r="AA53" s="1"/>
  <c r="Y53"/>
  <c r="Y52"/>
  <c r="B15" i="14"/>
  <c r="F15" i="16" s="1"/>
  <c r="B16" i="14"/>
  <c r="F16" i="16" s="1"/>
  <c r="B17" i="14"/>
  <c r="F17" i="16" s="1"/>
  <c r="B18" i="14"/>
  <c r="F18" i="16" s="1"/>
  <c r="B19" i="14"/>
  <c r="F19" i="16" s="1"/>
  <c r="B20" i="14"/>
  <c r="F20" i="16" s="1"/>
  <c r="B21" i="14"/>
  <c r="F21" i="16" s="1"/>
  <c r="B22" i="14"/>
  <c r="F22" i="16" s="1"/>
  <c r="B23" i="14"/>
  <c r="F23" i="16" s="1"/>
  <c r="B24" i="14"/>
  <c r="F24" i="16" s="1"/>
  <c r="B25" i="14"/>
  <c r="F25" i="16" s="1"/>
  <c r="B26" i="14"/>
  <c r="F26" i="16" s="1"/>
  <c r="B27" i="14"/>
  <c r="F27" i="16" s="1"/>
  <c r="B28" i="14"/>
  <c r="F28" i="16" s="1"/>
  <c r="B29" i="14"/>
  <c r="F29" i="16" s="1"/>
  <c r="B30" i="14"/>
  <c r="F30" i="16" s="1"/>
  <c r="B31" i="14"/>
  <c r="F31" i="16" s="1"/>
  <c r="B32" i="14"/>
  <c r="F32" i="16" s="1"/>
  <c r="B33" i="14"/>
  <c r="F33" i="16" s="1"/>
  <c r="B34" i="14"/>
  <c r="F34" i="16" s="1"/>
  <c r="G34" s="1"/>
  <c r="H34" s="1"/>
  <c r="B35" i="14"/>
  <c r="F35" i="16" s="1"/>
  <c r="G35" s="1"/>
  <c r="B36" i="14"/>
  <c r="F36" i="16" s="1"/>
  <c r="G36" s="1"/>
  <c r="B37" i="14"/>
  <c r="F37" i="16" s="1"/>
  <c r="G37" s="1"/>
  <c r="B38" i="14"/>
  <c r="F38" i="16" s="1"/>
  <c r="G38" s="1"/>
  <c r="B39" i="14"/>
  <c r="F39" i="16" s="1"/>
  <c r="G39" s="1"/>
  <c r="B40" i="14"/>
  <c r="F40" i="16" s="1"/>
  <c r="G40" s="1"/>
  <c r="B41" i="14"/>
  <c r="F41" i="16" s="1"/>
  <c r="G41" s="1"/>
  <c r="B42" i="14"/>
  <c r="F42" i="16" s="1"/>
  <c r="G42" s="1"/>
  <c r="B43" i="14"/>
  <c r="F43" i="16" s="1"/>
  <c r="G43" s="1"/>
  <c r="B44" i="14"/>
  <c r="F44" i="16" s="1"/>
  <c r="G44" s="1"/>
  <c r="B45" i="14"/>
  <c r="F45" i="16" s="1"/>
  <c r="G45" s="1"/>
  <c r="B46" i="14"/>
  <c r="F46" i="16" s="1"/>
  <c r="G46" s="1"/>
  <c r="B47" i="14"/>
  <c r="F47" i="16" s="1"/>
  <c r="G47" s="1"/>
  <c r="B48" i="14"/>
  <c r="F48" i="16" s="1"/>
  <c r="G48" s="1"/>
  <c r="B49" i="14"/>
  <c r="F49" i="16" s="1"/>
  <c r="G49" s="1"/>
  <c r="B50" i="14"/>
  <c r="F50" i="16" s="1"/>
  <c r="G50" s="1"/>
  <c r="B51" i="14"/>
  <c r="F51" i="16" s="1"/>
  <c r="G51" s="1"/>
  <c r="B52" i="14"/>
  <c r="B55"/>
  <c r="F55" i="16" s="1"/>
  <c r="B56" i="14"/>
  <c r="F56" i="16" s="1"/>
  <c r="B57" i="14"/>
  <c r="F57" i="16" s="1"/>
  <c r="B58" i="14"/>
  <c r="F58" i="16" s="1"/>
  <c r="B59" i="14"/>
  <c r="F59" i="16" s="1"/>
  <c r="B60" i="14"/>
  <c r="F60" i="16" s="1"/>
  <c r="B61" i="14"/>
  <c r="F61" i="16" s="1"/>
  <c r="B62" i="14"/>
  <c r="F62" i="16" s="1"/>
  <c r="B63" i="14"/>
  <c r="F63" i="16" s="1"/>
  <c r="B64" i="14"/>
  <c r="F64" i="16" s="1"/>
  <c r="B65" i="14"/>
  <c r="F65" i="16" s="1"/>
  <c r="B66" i="14"/>
  <c r="F66" i="16" s="1"/>
  <c r="B67" i="14"/>
  <c r="F67" i="16" s="1"/>
  <c r="B68" i="14"/>
  <c r="F68" i="16" s="1"/>
  <c r="B69" i="14"/>
  <c r="F69" i="16" s="1"/>
  <c r="B70" i="14"/>
  <c r="F70" i="16" s="1"/>
  <c r="B71" i="14"/>
  <c r="F71" i="16" s="1"/>
  <c r="B14" i="14"/>
  <c r="F14" i="16" s="1"/>
  <c r="C14" i="14"/>
  <c r="J14" i="16" s="1"/>
  <c r="DY53" i="14"/>
  <c r="DY54"/>
  <c r="DX56"/>
  <c r="AA52" i="13" l="1"/>
  <c r="AF53"/>
  <c r="AJ52"/>
  <c r="AF52"/>
  <c r="AJ53"/>
  <c r="AC53"/>
  <c r="H35" i="16"/>
  <c r="H36" s="1"/>
  <c r="H37" s="1"/>
  <c r="H38" s="1"/>
  <c r="H39" s="1"/>
  <c r="H40" s="1"/>
  <c r="H41" s="1"/>
  <c r="H42" s="1"/>
  <c r="H43" s="1"/>
  <c r="H44" s="1"/>
  <c r="H45" s="1"/>
  <c r="H46" s="1"/>
  <c r="H47" s="1"/>
  <c r="H48" s="1"/>
  <c r="H49" s="1"/>
  <c r="H50" s="1"/>
  <c r="H51" s="1"/>
  <c r="H52" s="1"/>
  <c r="I34" s="1"/>
  <c r="B53" i="14"/>
  <c r="B54"/>
  <c r="F54" i="16" s="1"/>
  <c r="D72" i="14"/>
  <c r="N72" i="16" s="1"/>
  <c r="D73" i="14"/>
  <c r="N73" i="16" s="1"/>
  <c r="D74" i="14"/>
  <c r="N74" i="16" s="1"/>
  <c r="D75" i="14"/>
  <c r="N75" i="16" s="1"/>
  <c r="D76" i="14"/>
  <c r="N76" i="16" s="1"/>
  <c r="D77" i="14"/>
  <c r="N77" i="16" s="1"/>
  <c r="D78" i="14"/>
  <c r="N78" i="16" s="1"/>
  <c r="D79" i="14"/>
  <c r="N79" i="16" s="1"/>
  <c r="D80" i="14"/>
  <c r="N80" i="16" s="1"/>
  <c r="N81"/>
  <c r="N82"/>
  <c r="N83"/>
  <c r="N84"/>
  <c r="N85"/>
  <c r="N86"/>
  <c r="N87"/>
  <c r="N88"/>
  <c r="N89"/>
  <c r="N90"/>
  <c r="N91"/>
  <c r="E3" i="14"/>
  <c r="E4"/>
  <c r="E5"/>
  <c r="E6"/>
  <c r="E7"/>
  <c r="E8"/>
  <c r="E9"/>
  <c r="E10"/>
  <c r="E11"/>
  <c r="E12"/>
  <c r="E13"/>
  <c r="E72"/>
  <c r="R72" i="16" s="1"/>
  <c r="E73" i="14"/>
  <c r="R73" i="16" s="1"/>
  <c r="E74" i="14"/>
  <c r="R74" i="16" s="1"/>
  <c r="E75" i="14"/>
  <c r="R75" i="16" s="1"/>
  <c r="E76" i="14"/>
  <c r="R76" i="16" s="1"/>
  <c r="E77" i="14"/>
  <c r="R77" i="16" s="1"/>
  <c r="E78" i="14"/>
  <c r="R78" i="16" s="1"/>
  <c r="E79" i="14"/>
  <c r="R79" i="16" s="1"/>
  <c r="E80" i="14"/>
  <c r="R80" i="16" s="1"/>
  <c r="R81"/>
  <c r="R82"/>
  <c r="R83"/>
  <c r="R84"/>
  <c r="R85"/>
  <c r="R86"/>
  <c r="R87"/>
  <c r="R88"/>
  <c r="R89"/>
  <c r="R90"/>
  <c r="R91"/>
  <c r="E2" i="14"/>
  <c r="C3"/>
  <c r="K16" i="13" s="1"/>
  <c r="C4" i="14"/>
  <c r="M16" i="13" s="1"/>
  <c r="C5" i="14"/>
  <c r="O16" i="13" s="1"/>
  <c r="C6" i="14"/>
  <c r="Q16" i="13" s="1"/>
  <c r="C7" i="14"/>
  <c r="S16" i="13" s="1"/>
  <c r="C8" i="14"/>
  <c r="U16" i="13" s="1"/>
  <c r="C9" i="14"/>
  <c r="W16" i="13" s="1"/>
  <c r="C10" i="14"/>
  <c r="Y16" i="13" s="1"/>
  <c r="C11" i="14"/>
  <c r="AA16" i="13" s="1"/>
  <c r="C12" i="14"/>
  <c r="AC16" i="13" s="1"/>
  <c r="C13" i="14"/>
  <c r="AE16" i="13" s="1"/>
  <c r="C34" i="14"/>
  <c r="J34" i="16" s="1"/>
  <c r="C35" i="14"/>
  <c r="J35" i="16" s="1"/>
  <c r="C36" i="14"/>
  <c r="J36" i="16" s="1"/>
  <c r="C37" i="14"/>
  <c r="J37" i="16" s="1"/>
  <c r="C38" i="14"/>
  <c r="J38" i="16" s="1"/>
  <c r="C39" i="14"/>
  <c r="J39" i="16" s="1"/>
  <c r="C40" i="14"/>
  <c r="J40" i="16" s="1"/>
  <c r="C41" i="14"/>
  <c r="J41" i="16" s="1"/>
  <c r="C42" i="14"/>
  <c r="J42" i="16" s="1"/>
  <c r="C43" i="14"/>
  <c r="J43" i="16" s="1"/>
  <c r="C44" i="14"/>
  <c r="J44" i="16" s="1"/>
  <c r="C45" i="14"/>
  <c r="J45" i="16" s="1"/>
  <c r="C46" i="14"/>
  <c r="J46" i="16" s="1"/>
  <c r="C47" i="14"/>
  <c r="J47" i="16" s="1"/>
  <c r="C48" i="14"/>
  <c r="J48" i="16" s="1"/>
  <c r="C49" i="14"/>
  <c r="J49" i="16" s="1"/>
  <c r="C50" i="14"/>
  <c r="J50" i="16" s="1"/>
  <c r="C51" i="14"/>
  <c r="J51" i="16" s="1"/>
  <c r="C52" i="14"/>
  <c r="C53"/>
  <c r="J53" i="16" s="1"/>
  <c r="C54" i="14"/>
  <c r="J54" i="16" s="1"/>
  <c r="C55" i="14"/>
  <c r="J55" i="16" s="1"/>
  <c r="C56" i="14"/>
  <c r="J56" i="16" s="1"/>
  <c r="C57" i="14"/>
  <c r="J57" i="16" s="1"/>
  <c r="C58" i="14"/>
  <c r="J58" i="16" s="1"/>
  <c r="C59" i="14"/>
  <c r="J59" i="16" s="1"/>
  <c r="C60" i="14"/>
  <c r="J60" i="16" s="1"/>
  <c r="C61" i="14"/>
  <c r="J61" i="16" s="1"/>
  <c r="C62" i="14"/>
  <c r="J62" i="16" s="1"/>
  <c r="C63" i="14"/>
  <c r="J63" i="16" s="1"/>
  <c r="C64" i="14"/>
  <c r="J64" i="16" s="1"/>
  <c r="C65" i="14"/>
  <c r="J65" i="16" s="1"/>
  <c r="C66" i="14"/>
  <c r="J66" i="16" s="1"/>
  <c r="C67" i="14"/>
  <c r="J67" i="16" s="1"/>
  <c r="C68" i="14"/>
  <c r="J68" i="16" s="1"/>
  <c r="C69" i="14"/>
  <c r="J69" i="16" s="1"/>
  <c r="C70" i="14"/>
  <c r="J70" i="16" s="1"/>
  <c r="C71" i="14"/>
  <c r="J71" i="16" s="1"/>
  <c r="C72" i="14"/>
  <c r="J72" i="16" s="1"/>
  <c r="L72" s="1"/>
  <c r="C73" i="14"/>
  <c r="J73" i="16" s="1"/>
  <c r="C74" i="14"/>
  <c r="J74" i="16" s="1"/>
  <c r="C75" i="14"/>
  <c r="J75" i="16" s="1"/>
  <c r="C76" i="14"/>
  <c r="J76" i="16" s="1"/>
  <c r="C77" i="14"/>
  <c r="J77" i="16" s="1"/>
  <c r="C78" i="14"/>
  <c r="J78" i="16" s="1"/>
  <c r="C79" i="14"/>
  <c r="J79" i="16" s="1"/>
  <c r="C80" i="14"/>
  <c r="J80" i="16" s="1"/>
  <c r="J81"/>
  <c r="J82"/>
  <c r="J83"/>
  <c r="J84"/>
  <c r="J85"/>
  <c r="J86"/>
  <c r="J87"/>
  <c r="J88"/>
  <c r="J89"/>
  <c r="J90"/>
  <c r="J91"/>
  <c r="C15" i="14"/>
  <c r="J15" i="16" s="1"/>
  <c r="C16" i="14"/>
  <c r="J16" i="16" s="1"/>
  <c r="C17" i="14"/>
  <c r="J17" i="16" s="1"/>
  <c r="C18" i="14"/>
  <c r="J18" i="16" s="1"/>
  <c r="C19" i="14"/>
  <c r="J19" i="16" s="1"/>
  <c r="C20" i="14"/>
  <c r="J20" i="16" s="1"/>
  <c r="C21" i="14"/>
  <c r="J21" i="16" s="1"/>
  <c r="C22" i="14"/>
  <c r="J22" i="16" s="1"/>
  <c r="C23" i="14"/>
  <c r="J23" i="16" s="1"/>
  <c r="C24" i="14"/>
  <c r="J24" i="16" s="1"/>
  <c r="C25" i="14"/>
  <c r="J25" i="16" s="1"/>
  <c r="C26" i="14"/>
  <c r="J26" i="16" s="1"/>
  <c r="C27" i="14"/>
  <c r="J27" i="16" s="1"/>
  <c r="C28" i="14"/>
  <c r="J28" i="16" s="1"/>
  <c r="C29" i="14"/>
  <c r="J29" i="16" s="1"/>
  <c r="C30" i="14"/>
  <c r="J30" i="16" s="1"/>
  <c r="C31" i="14"/>
  <c r="J31" i="16" s="1"/>
  <c r="C32" i="14"/>
  <c r="J32" i="16" s="1"/>
  <c r="C33" i="14"/>
  <c r="J33" i="16" s="1"/>
  <c r="C2" i="14"/>
  <c r="I16" i="13" s="1"/>
  <c r="E1" i="14"/>
  <c r="D1"/>
  <c r="C1"/>
  <c r="B1"/>
  <c r="C4" i="12"/>
  <c r="D15" i="14" l="1"/>
  <c r="N15" i="16" s="1"/>
  <c r="E71" i="14"/>
  <c r="R71" i="16" s="1"/>
  <c r="E16" i="14"/>
  <c r="R16" i="16" s="1"/>
  <c r="E18" i="14"/>
  <c r="R18" i="16" s="1"/>
  <c r="E20" i="14"/>
  <c r="R20" i="16" s="1"/>
  <c r="E22" i="14"/>
  <c r="R22" i="16" s="1"/>
  <c r="E24" i="14"/>
  <c r="R24" i="16" s="1"/>
  <c r="E26" i="14"/>
  <c r="R26" i="16" s="1"/>
  <c r="E28" i="14"/>
  <c r="R28" i="16" s="1"/>
  <c r="E30" i="14"/>
  <c r="R30" i="16" s="1"/>
  <c r="E32" i="14"/>
  <c r="R32" i="16" s="1"/>
  <c r="E34" i="14"/>
  <c r="R34" i="16" s="1"/>
  <c r="E36" i="14"/>
  <c r="R36" i="16" s="1"/>
  <c r="E38" i="14"/>
  <c r="R38" i="16" s="1"/>
  <c r="E40" i="14"/>
  <c r="R40" i="16" s="1"/>
  <c r="E42" i="14"/>
  <c r="R42" i="16" s="1"/>
  <c r="E44" i="14"/>
  <c r="R44" i="16" s="1"/>
  <c r="E46" i="14"/>
  <c r="R46" i="16" s="1"/>
  <c r="E48" i="14"/>
  <c r="R48" i="16" s="1"/>
  <c r="E50" i="14"/>
  <c r="R50" i="16" s="1"/>
  <c r="E52" i="14"/>
  <c r="E54"/>
  <c r="R54" i="16" s="1"/>
  <c r="E56" i="14"/>
  <c r="R56" i="16" s="1"/>
  <c r="E58" i="14"/>
  <c r="R58" i="16" s="1"/>
  <c r="E60" i="14"/>
  <c r="R60" i="16" s="1"/>
  <c r="E62" i="14"/>
  <c r="R62" i="16" s="1"/>
  <c r="E64" i="14"/>
  <c r="R64" i="16" s="1"/>
  <c r="E66" i="14"/>
  <c r="R66" i="16" s="1"/>
  <c r="E68" i="14"/>
  <c r="R68" i="16" s="1"/>
  <c r="E70" i="14"/>
  <c r="R70" i="16" s="1"/>
  <c r="E14" i="14"/>
  <c r="D16"/>
  <c r="N16" i="16" s="1"/>
  <c r="D18" i="14"/>
  <c r="N18" i="16" s="1"/>
  <c r="D20" i="14"/>
  <c r="N20" i="16" s="1"/>
  <c r="D22" i="14"/>
  <c r="N22" i="16" s="1"/>
  <c r="D24" i="14"/>
  <c r="N24" i="16" s="1"/>
  <c r="D26" i="14"/>
  <c r="N26" i="16" s="1"/>
  <c r="D28" i="14"/>
  <c r="N28" i="16" s="1"/>
  <c r="D30" i="14"/>
  <c r="N30" i="16" s="1"/>
  <c r="D32" i="14"/>
  <c r="N32" i="16" s="1"/>
  <c r="D34" i="14"/>
  <c r="N34" i="16" s="1"/>
  <c r="D36" i="14"/>
  <c r="N36" i="16" s="1"/>
  <c r="D38" i="14"/>
  <c r="N38" i="16" s="1"/>
  <c r="D40" i="14"/>
  <c r="N40" i="16" s="1"/>
  <c r="D42" i="14"/>
  <c r="N42" i="16" s="1"/>
  <c r="D44" i="14"/>
  <c r="N44" i="16" s="1"/>
  <c r="D46" i="14"/>
  <c r="N46" i="16" s="1"/>
  <c r="D48" i="14"/>
  <c r="N48" i="16" s="1"/>
  <c r="D50" i="14"/>
  <c r="N50" i="16" s="1"/>
  <c r="D52" i="14"/>
  <c r="D54"/>
  <c r="N54" i="16" s="1"/>
  <c r="D56" i="14"/>
  <c r="N56" i="16" s="1"/>
  <c r="D58" i="14"/>
  <c r="N58" i="16" s="1"/>
  <c r="D60" i="14"/>
  <c r="N60" i="16" s="1"/>
  <c r="D62" i="14"/>
  <c r="N62" i="16" s="1"/>
  <c r="D64" i="14"/>
  <c r="N64" i="16" s="1"/>
  <c r="D66" i="14"/>
  <c r="N66" i="16" s="1"/>
  <c r="D68" i="14"/>
  <c r="N68" i="16" s="1"/>
  <c r="D70" i="14"/>
  <c r="N70" i="16" s="1"/>
  <c r="D14" i="14"/>
  <c r="E15"/>
  <c r="R15" i="16" s="1"/>
  <c r="E17" i="14"/>
  <c r="R17" i="16" s="1"/>
  <c r="E19" i="14"/>
  <c r="R19" i="16" s="1"/>
  <c r="E21" i="14"/>
  <c r="R21" i="16" s="1"/>
  <c r="E23" i="14"/>
  <c r="R23" i="16" s="1"/>
  <c r="E25" i="14"/>
  <c r="R25" i="16" s="1"/>
  <c r="E27" i="14"/>
  <c r="R27" i="16" s="1"/>
  <c r="E29" i="14"/>
  <c r="R29" i="16" s="1"/>
  <c r="E31" i="14"/>
  <c r="R31" i="16" s="1"/>
  <c r="E33" i="14"/>
  <c r="R33" i="16" s="1"/>
  <c r="E35" i="14"/>
  <c r="R35" i="16" s="1"/>
  <c r="E37" i="14"/>
  <c r="R37" i="16" s="1"/>
  <c r="E39" i="14"/>
  <c r="R39" i="16" s="1"/>
  <c r="E41" i="14"/>
  <c r="R41" i="16" s="1"/>
  <c r="E43" i="14"/>
  <c r="R43" i="16" s="1"/>
  <c r="E45" i="14"/>
  <c r="R45" i="16" s="1"/>
  <c r="E47" i="14"/>
  <c r="R47" i="16" s="1"/>
  <c r="E49" i="14"/>
  <c r="R49" i="16" s="1"/>
  <c r="E51" i="14"/>
  <c r="R51" i="16" s="1"/>
  <c r="E53" i="14"/>
  <c r="R53" i="16" s="1"/>
  <c r="E55" i="14"/>
  <c r="R55" i="16" s="1"/>
  <c r="E57" i="14"/>
  <c r="R57" i="16" s="1"/>
  <c r="E59" i="14"/>
  <c r="R59" i="16" s="1"/>
  <c r="E61" i="14"/>
  <c r="R61" i="16" s="1"/>
  <c r="E63" i="14"/>
  <c r="R63" i="16" s="1"/>
  <c r="E65" i="14"/>
  <c r="R65" i="16" s="1"/>
  <c r="E67" i="14"/>
  <c r="R67" i="16" s="1"/>
  <c r="E69" i="14"/>
  <c r="R69" i="16" s="1"/>
  <c r="D17" i="14"/>
  <c r="N17" i="16" s="1"/>
  <c r="D19" i="14"/>
  <c r="N19" i="16" s="1"/>
  <c r="D21" i="14"/>
  <c r="N21" i="16" s="1"/>
  <c r="D23" i="14"/>
  <c r="N23" i="16" s="1"/>
  <c r="D25" i="14"/>
  <c r="N25" i="16" s="1"/>
  <c r="D27" i="14"/>
  <c r="N27" i="16" s="1"/>
  <c r="D29" i="14"/>
  <c r="N29" i="16" s="1"/>
  <c r="D31" i="14"/>
  <c r="N31" i="16" s="1"/>
  <c r="D33" i="14"/>
  <c r="N33" i="16" s="1"/>
  <c r="D35" i="14"/>
  <c r="N35" i="16" s="1"/>
  <c r="D37" i="14"/>
  <c r="N37" i="16" s="1"/>
  <c r="D39" i="14"/>
  <c r="N39" i="16" s="1"/>
  <c r="D41" i="14"/>
  <c r="N41" i="16" s="1"/>
  <c r="D43" i="14"/>
  <c r="N43" i="16" s="1"/>
  <c r="D45" i="14"/>
  <c r="N45" i="16" s="1"/>
  <c r="D47" i="14"/>
  <c r="N47" i="16" s="1"/>
  <c r="D49" i="14"/>
  <c r="N49" i="16" s="1"/>
  <c r="D51" i="14"/>
  <c r="N51" i="16" s="1"/>
  <c r="D53" i="14"/>
  <c r="N53" i="16" s="1"/>
  <c r="D55" i="14"/>
  <c r="N55" i="16" s="1"/>
  <c r="D57" i="14"/>
  <c r="N57" i="16" s="1"/>
  <c r="D59" i="14"/>
  <c r="N59" i="16" s="1"/>
  <c r="D61" i="14"/>
  <c r="N61" i="16" s="1"/>
  <c r="D63" i="14"/>
  <c r="N63" i="16" s="1"/>
  <c r="D65" i="14"/>
  <c r="N65" i="16" s="1"/>
  <c r="D67" i="14"/>
  <c r="N67" i="16" s="1"/>
  <c r="D69" i="14"/>
  <c r="N69" i="16" s="1"/>
  <c r="D71" i="14"/>
  <c r="N71" i="16" s="1"/>
  <c r="F53"/>
  <c r="K20" s="1"/>
  <c r="D3" i="14"/>
  <c r="D4"/>
  <c r="D5"/>
  <c r="D6"/>
  <c r="D7"/>
  <c r="D8"/>
  <c r="D9"/>
  <c r="D10"/>
  <c r="D11"/>
  <c r="D12"/>
  <c r="D13"/>
  <c r="D2"/>
  <c r="V8" i="12"/>
  <c r="E2" i="15"/>
  <c r="F2"/>
  <c r="G2"/>
  <c r="M30" i="13" l="1"/>
  <c r="K41"/>
  <c r="L29"/>
  <c r="K38"/>
  <c r="L26"/>
  <c r="K25"/>
  <c r="M31"/>
  <c r="L42"/>
  <c r="M38"/>
  <c r="K33"/>
  <c r="L37"/>
  <c r="M39"/>
  <c r="K43"/>
  <c r="K30"/>
  <c r="L34"/>
  <c r="M26"/>
  <c r="K37"/>
  <c r="K29"/>
  <c r="L41"/>
  <c r="L33"/>
  <c r="M43"/>
  <c r="M35"/>
  <c r="M27"/>
  <c r="K42"/>
  <c r="K34"/>
  <c r="K26"/>
  <c r="L38"/>
  <c r="L30"/>
  <c r="M42"/>
  <c r="M34"/>
  <c r="M28"/>
  <c r="R14" i="16"/>
  <c r="K39" i="13"/>
  <c r="K35"/>
  <c r="K31"/>
  <c r="K27"/>
  <c r="L43"/>
  <c r="L39"/>
  <c r="L35"/>
  <c r="L31"/>
  <c r="L25"/>
  <c r="M41"/>
  <c r="M37"/>
  <c r="M33"/>
  <c r="M29"/>
  <c r="M25"/>
  <c r="K24"/>
  <c r="K40"/>
  <c r="K36"/>
  <c r="K32"/>
  <c r="K28"/>
  <c r="L24"/>
  <c r="L40"/>
  <c r="L36"/>
  <c r="L32"/>
  <c r="L28"/>
  <c r="M24"/>
  <c r="M40"/>
  <c r="M36"/>
  <c r="M32"/>
  <c r="N14" i="16"/>
  <c r="L27" i="13"/>
  <c r="K28" i="16"/>
  <c r="K27"/>
  <c r="K59"/>
  <c r="K52"/>
  <c r="K43"/>
  <c r="K68"/>
  <c r="K36"/>
  <c r="K67"/>
  <c r="K51"/>
  <c r="K35"/>
  <c r="K19"/>
  <c r="K60"/>
  <c r="K44"/>
  <c r="H53"/>
  <c r="H54" s="1"/>
  <c r="H55" s="1"/>
  <c r="H56" s="1"/>
  <c r="H57" s="1"/>
  <c r="H58" s="1"/>
  <c r="H59" s="1"/>
  <c r="H60" s="1"/>
  <c r="H61" s="1"/>
  <c r="H62" s="1"/>
  <c r="H63" s="1"/>
  <c r="H64" s="1"/>
  <c r="H65" s="1"/>
  <c r="H66" s="1"/>
  <c r="H67" s="1"/>
  <c r="H68" s="1"/>
  <c r="H69" s="1"/>
  <c r="H70" s="1"/>
  <c r="H71" s="1"/>
  <c r="K71"/>
  <c r="K63"/>
  <c r="K55"/>
  <c r="K47"/>
  <c r="K39"/>
  <c r="K31"/>
  <c r="K23"/>
  <c r="K15"/>
  <c r="K64"/>
  <c r="K56"/>
  <c r="K48"/>
  <c r="K40"/>
  <c r="K32"/>
  <c r="K24"/>
  <c r="K16"/>
  <c r="K69"/>
  <c r="K65"/>
  <c r="K61"/>
  <c r="K57"/>
  <c r="K53"/>
  <c r="K49"/>
  <c r="K45"/>
  <c r="K41"/>
  <c r="K37"/>
  <c r="K33"/>
  <c r="K29"/>
  <c r="K25"/>
  <c r="K21"/>
  <c r="K17"/>
  <c r="K70"/>
  <c r="K66"/>
  <c r="K62"/>
  <c r="K58"/>
  <c r="K54"/>
  <c r="K50"/>
  <c r="K46"/>
  <c r="K42"/>
  <c r="K38"/>
  <c r="K34"/>
  <c r="K30"/>
  <c r="K26"/>
  <c r="K22"/>
  <c r="K18"/>
  <c r="K14"/>
  <c r="L14" s="1"/>
  <c r="C3" i="12"/>
  <c r="D2" i="15"/>
  <c r="L34" i="16" l="1"/>
  <c r="L35" s="1"/>
  <c r="L36" s="1"/>
  <c r="L37" s="1"/>
  <c r="L38" s="1"/>
  <c r="L39" s="1"/>
  <c r="L40" s="1"/>
  <c r="L41" s="1"/>
  <c r="L42" s="1"/>
  <c r="L43" s="1"/>
  <c r="L44" s="1"/>
  <c r="L45" s="1"/>
  <c r="L46" s="1"/>
  <c r="L47" s="1"/>
  <c r="L48" s="1"/>
  <c r="L49" s="1"/>
  <c r="L50" s="1"/>
  <c r="L51" s="1"/>
  <c r="L52" s="1"/>
  <c r="M34" s="1"/>
  <c r="I53"/>
  <c r="L53" s="1"/>
  <c r="H73"/>
  <c r="H74" s="1"/>
  <c r="H75" s="1"/>
  <c r="H76" s="1"/>
  <c r="H77" s="1"/>
  <c r="H78" s="1"/>
  <c r="H79" s="1"/>
  <c r="H80" s="1"/>
  <c r="H81" s="1"/>
  <c r="H82" s="1"/>
  <c r="H83" s="1"/>
  <c r="H84" s="1"/>
  <c r="H85" s="1"/>
  <c r="H86" s="1"/>
  <c r="H87" s="1"/>
  <c r="H88" s="1"/>
  <c r="H89" s="1"/>
  <c r="H90" s="1"/>
  <c r="H91" s="1"/>
  <c r="I72" s="1"/>
  <c r="B18" i="13"/>
  <c r="B17"/>
  <c r="B16"/>
  <c r="O15" i="16" l="1"/>
  <c r="O19"/>
  <c r="O64"/>
  <c r="O85"/>
  <c r="O35"/>
  <c r="O59"/>
  <c r="O78"/>
  <c r="O14"/>
  <c r="O89"/>
  <c r="O83"/>
  <c r="O53"/>
  <c r="O61"/>
  <c r="O77"/>
  <c r="O46"/>
  <c r="O69"/>
  <c r="O51"/>
  <c r="O70"/>
  <c r="O74"/>
  <c r="O21"/>
  <c r="O24"/>
  <c r="O62"/>
  <c r="O57"/>
  <c r="O75"/>
  <c r="O31"/>
  <c r="O42"/>
  <c r="O37"/>
  <c r="O80"/>
  <c r="O48"/>
  <c r="L54"/>
  <c r="L55" s="1"/>
  <c r="L56" s="1"/>
  <c r="L57" s="1"/>
  <c r="L58" s="1"/>
  <c r="L59" s="1"/>
  <c r="L60" s="1"/>
  <c r="L61" s="1"/>
  <c r="L62" s="1"/>
  <c r="L63" s="1"/>
  <c r="L64" s="1"/>
  <c r="L65" s="1"/>
  <c r="L66" s="1"/>
  <c r="L67" s="1"/>
  <c r="L68" s="1"/>
  <c r="L69" s="1"/>
  <c r="L70" s="1"/>
  <c r="L71" s="1"/>
  <c r="M53" s="1"/>
  <c r="O30"/>
  <c r="O91"/>
  <c r="O73"/>
  <c r="O27"/>
  <c r="O38"/>
  <c r="O67"/>
  <c r="O47"/>
  <c r="O90"/>
  <c r="O58"/>
  <c r="O26"/>
  <c r="O45"/>
  <c r="O29"/>
  <c r="O88"/>
  <c r="O72"/>
  <c r="O56"/>
  <c r="O40"/>
  <c r="O32"/>
  <c r="O16"/>
  <c r="O81"/>
  <c r="O87"/>
  <c r="O65"/>
  <c r="O86"/>
  <c r="O22"/>
  <c r="O63"/>
  <c r="O39"/>
  <c r="O82"/>
  <c r="O50"/>
  <c r="O18"/>
  <c r="O41"/>
  <c r="O25"/>
  <c r="O84"/>
  <c r="O68"/>
  <c r="O52"/>
  <c r="O36"/>
  <c r="O20"/>
  <c r="O76"/>
  <c r="O44"/>
  <c r="O79"/>
  <c r="O43"/>
  <c r="O54"/>
  <c r="O71"/>
  <c r="O55"/>
  <c r="O23"/>
  <c r="O66"/>
  <c r="O34"/>
  <c r="O49"/>
  <c r="O33"/>
  <c r="O17"/>
  <c r="O60"/>
  <c r="O28"/>
  <c r="L73"/>
  <c r="L74" s="1"/>
  <c r="L75" s="1"/>
  <c r="L76" s="1"/>
  <c r="L77" s="1"/>
  <c r="L78" s="1"/>
  <c r="L79" s="1"/>
  <c r="L80" s="1"/>
  <c r="L81" s="1"/>
  <c r="L82" s="1"/>
  <c r="L83" s="1"/>
  <c r="L84" s="1"/>
  <c r="L85" s="1"/>
  <c r="L86" s="1"/>
  <c r="L87" s="1"/>
  <c r="L88" s="1"/>
  <c r="L89" s="1"/>
  <c r="L90" s="1"/>
  <c r="L91" s="1"/>
  <c r="M72" s="1"/>
  <c r="K18" i="13"/>
  <c r="O18"/>
  <c r="S18"/>
  <c r="W18"/>
  <c r="AA18"/>
  <c r="AE18"/>
  <c r="I18"/>
  <c r="M18"/>
  <c r="Q18"/>
  <c r="U18"/>
  <c r="Y18"/>
  <c r="M17"/>
  <c r="Q17"/>
  <c r="U17"/>
  <c r="Y17"/>
  <c r="AC17"/>
  <c r="K17"/>
  <c r="O17"/>
  <c r="S17"/>
  <c r="W17"/>
  <c r="AA17"/>
  <c r="AE17"/>
  <c r="I17"/>
  <c r="AC18"/>
  <c r="I8" i="12"/>
  <c r="E1"/>
  <c r="L2"/>
  <c r="V7"/>
  <c r="Y7"/>
  <c r="Y8"/>
  <c r="V9"/>
  <c r="Y9"/>
  <c r="V10"/>
  <c r="Y10"/>
  <c r="G29"/>
  <c r="H29"/>
  <c r="I29"/>
  <c r="F29"/>
  <c r="G40"/>
  <c r="H40"/>
  <c r="I40"/>
  <c r="F40"/>
  <c r="G51"/>
  <c r="H51"/>
  <c r="I51"/>
  <c r="F51"/>
  <c r="G72"/>
  <c r="H72"/>
  <c r="I72"/>
  <c r="F72"/>
  <c r="G138"/>
  <c r="H138"/>
  <c r="I138"/>
  <c r="F138"/>
  <c r="G127"/>
  <c r="H127"/>
  <c r="I127"/>
  <c r="F127"/>
  <c r="G114"/>
  <c r="H114"/>
  <c r="I114"/>
  <c r="F114"/>
  <c r="G93"/>
  <c r="H93"/>
  <c r="I93"/>
  <c r="F93"/>
  <c r="G8"/>
  <c r="H8"/>
  <c r="F8"/>
  <c r="AH3" i="13"/>
  <c r="S2"/>
  <c r="AH2"/>
  <c r="AH4"/>
  <c r="P53" i="16" l="1"/>
  <c r="P54" s="1"/>
  <c r="P55" s="1"/>
  <c r="P56" s="1"/>
  <c r="P57" s="1"/>
  <c r="P58" s="1"/>
  <c r="P59" s="1"/>
  <c r="P60" s="1"/>
  <c r="P61" s="1"/>
  <c r="P62" s="1"/>
  <c r="P63" s="1"/>
  <c r="P64" s="1"/>
  <c r="P65" s="1"/>
  <c r="P66" s="1"/>
  <c r="P67" s="1"/>
  <c r="P68" s="1"/>
  <c r="P69" s="1"/>
  <c r="P70" s="1"/>
  <c r="P71" s="1"/>
  <c r="Q53" s="1"/>
  <c r="P34"/>
  <c r="P35" s="1"/>
  <c r="P36" s="1"/>
  <c r="P37" s="1"/>
  <c r="P38" s="1"/>
  <c r="P39" s="1"/>
  <c r="P40" s="1"/>
  <c r="P41" s="1"/>
  <c r="P42" s="1"/>
  <c r="P43" s="1"/>
  <c r="P44" s="1"/>
  <c r="P45" s="1"/>
  <c r="P46" s="1"/>
  <c r="P47" s="1"/>
  <c r="P48" s="1"/>
  <c r="P49" s="1"/>
  <c r="P50" s="1"/>
  <c r="P51" s="1"/>
  <c r="P52" s="1"/>
  <c r="Q34" s="1"/>
  <c r="S52"/>
  <c r="P72"/>
  <c r="P73" s="1"/>
  <c r="P74" s="1"/>
  <c r="P75" s="1"/>
  <c r="P76" s="1"/>
  <c r="P77" s="1"/>
  <c r="P78" s="1"/>
  <c r="P79" s="1"/>
  <c r="P80" s="1"/>
  <c r="P81" s="1"/>
  <c r="P82" s="1"/>
  <c r="P83" s="1"/>
  <c r="P84" s="1"/>
  <c r="P85" s="1"/>
  <c r="P86" s="1"/>
  <c r="P87" s="1"/>
  <c r="P88" s="1"/>
  <c r="P89" s="1"/>
  <c r="P90" s="1"/>
  <c r="P91" s="1"/>
  <c r="Q72" s="1"/>
  <c r="S69"/>
  <c r="S78"/>
  <c r="S74"/>
  <c r="S47"/>
  <c r="S37"/>
  <c r="S42"/>
  <c r="S79"/>
  <c r="S15"/>
  <c r="S20"/>
  <c r="S84"/>
  <c r="S53"/>
  <c r="S21"/>
  <c r="S58"/>
  <c r="S26"/>
  <c r="S80"/>
  <c r="S63"/>
  <c r="S31"/>
  <c r="S68"/>
  <c r="S36"/>
  <c r="S65"/>
  <c r="S81"/>
  <c r="S61"/>
  <c r="S45"/>
  <c r="S29"/>
  <c r="S90"/>
  <c r="S66"/>
  <c r="S50"/>
  <c r="S34"/>
  <c r="S18"/>
  <c r="S77"/>
  <c r="S87"/>
  <c r="S71"/>
  <c r="S55"/>
  <c r="S39"/>
  <c r="S23"/>
  <c r="S76"/>
  <c r="S60"/>
  <c r="S44"/>
  <c r="S28"/>
  <c r="S89"/>
  <c r="S49"/>
  <c r="S33"/>
  <c r="S17"/>
  <c r="S70"/>
  <c r="S54"/>
  <c r="S38"/>
  <c r="S22"/>
  <c r="S85"/>
  <c r="S91"/>
  <c r="S75"/>
  <c r="S59"/>
  <c r="S43"/>
  <c r="S27"/>
  <c r="S86"/>
  <c r="S64"/>
  <c r="S48"/>
  <c r="S32"/>
  <c r="S16"/>
  <c r="S73"/>
  <c r="S57"/>
  <c r="S41"/>
  <c r="S25"/>
  <c r="S82"/>
  <c r="S62"/>
  <c r="S46"/>
  <c r="S30"/>
  <c r="S14"/>
  <c r="S88"/>
  <c r="S83"/>
  <c r="S67"/>
  <c r="S51"/>
  <c r="S35"/>
  <c r="S19"/>
  <c r="S72"/>
  <c r="S56"/>
  <c r="S40"/>
  <c r="S24"/>
  <c r="L3" i="12"/>
  <c r="I116"/>
  <c r="H116"/>
  <c r="G116"/>
  <c r="F116"/>
  <c r="I115"/>
  <c r="H115"/>
  <c r="G115"/>
  <c r="F115"/>
  <c r="S4" i="13"/>
  <c r="W2" i="12"/>
  <c r="U2"/>
  <c r="Q2"/>
  <c r="M2"/>
  <c r="S3" i="13"/>
  <c r="N2" i="12"/>
  <c r="V2"/>
  <c r="T2"/>
  <c r="O2"/>
  <c r="Y2"/>
  <c r="S2"/>
  <c r="F4" i="13"/>
  <c r="X2" i="12"/>
  <c r="R2"/>
  <c r="AG12" i="13" l="1"/>
  <c r="AG15" s="1"/>
  <c r="AA12"/>
  <c r="T34" i="16"/>
  <c r="T35" s="1"/>
  <c r="T36" s="1"/>
  <c r="T37" s="1"/>
  <c r="T38" s="1"/>
  <c r="T39" s="1"/>
  <c r="T40" s="1"/>
  <c r="T41" s="1"/>
  <c r="T42" s="1"/>
  <c r="T43" s="1"/>
  <c r="T44" s="1"/>
  <c r="T45" s="1"/>
  <c r="T46" s="1"/>
  <c r="T47" s="1"/>
  <c r="T48" s="1"/>
  <c r="T49" s="1"/>
  <c r="T50" s="1"/>
  <c r="T51" s="1"/>
  <c r="T52" s="1"/>
  <c r="U34" s="1"/>
  <c r="AD2"/>
  <c r="T72"/>
  <c r="T53"/>
  <c r="T54" s="1"/>
  <c r="T55" s="1"/>
  <c r="T56" s="1"/>
  <c r="T57" s="1"/>
  <c r="T58" s="1"/>
  <c r="T59" s="1"/>
  <c r="T60" s="1"/>
  <c r="T61" s="1"/>
  <c r="T62" s="1"/>
  <c r="T63" s="1"/>
  <c r="T64" s="1"/>
  <c r="T65" s="1"/>
  <c r="T66" s="1"/>
  <c r="T67" s="1"/>
  <c r="T68" s="1"/>
  <c r="T69" s="1"/>
  <c r="T70" s="1"/>
  <c r="T71" s="1"/>
  <c r="K12" i="13"/>
  <c r="M12"/>
  <c r="Q12"/>
  <c r="S12"/>
  <c r="U12"/>
  <c r="W12"/>
  <c r="Y12"/>
  <c r="Y15" s="1"/>
  <c r="AC12"/>
  <c r="AE12"/>
  <c r="AE15" s="1"/>
  <c r="I12"/>
  <c r="A23" i="12"/>
  <c r="AA5" i="16"/>
  <c r="P2" i="12"/>
  <c r="AE19" i="13"/>
  <c r="AG19"/>
  <c r="Y19"/>
  <c r="I3" i="18" l="1"/>
  <c r="AA3"/>
  <c r="F3"/>
  <c r="H3"/>
  <c r="G3"/>
  <c r="Z3"/>
  <c r="O12" i="13"/>
  <c r="N38"/>
  <c r="N40"/>
  <c r="N36"/>
  <c r="N37"/>
  <c r="N32"/>
  <c r="N34"/>
  <c r="B47"/>
  <c r="U53" i="16"/>
  <c r="S24" i="13"/>
  <c r="T73" i="16"/>
  <c r="T74" s="1"/>
  <c r="T75" s="1"/>
  <c r="T76" s="1"/>
  <c r="T77" s="1"/>
  <c r="T78" s="1"/>
  <c r="T79" s="1"/>
  <c r="T80" s="1"/>
  <c r="T81" s="1"/>
  <c r="T82" s="1"/>
  <c r="T83" s="1"/>
  <c r="T84" s="1"/>
  <c r="T85" s="1"/>
  <c r="T86" s="1"/>
  <c r="T87" s="1"/>
  <c r="T88" s="1"/>
  <c r="T89" s="1"/>
  <c r="T90" s="1"/>
  <c r="T91" s="1"/>
  <c r="AH5" i="13"/>
  <c r="AA3" i="16"/>
  <c r="AA14"/>
  <c r="AA12"/>
  <c r="AA6"/>
  <c r="AA15"/>
  <c r="AA33"/>
  <c r="AA24"/>
  <c r="AA25"/>
  <c r="AA8"/>
  <c r="AA19"/>
  <c r="AA20"/>
  <c r="AA26"/>
  <c r="AA21"/>
  <c r="AA4"/>
  <c r="AA32"/>
  <c r="AA7"/>
  <c r="AA11"/>
  <c r="AA22"/>
  <c r="AA2"/>
  <c r="AA17"/>
  <c r="AA27"/>
  <c r="AA29"/>
  <c r="AA10"/>
  <c r="AA16"/>
  <c r="AA23"/>
  <c r="AA30"/>
  <c r="AA28"/>
  <c r="AA31"/>
  <c r="AA18"/>
  <c r="AA13"/>
  <c r="AA9"/>
  <c r="B63" i="13" l="1"/>
  <c r="I63" s="1"/>
  <c r="B62"/>
  <c r="K62" s="1"/>
  <c r="M18" i="12"/>
  <c r="M19"/>
  <c r="M16"/>
  <c r="M17"/>
  <c r="N18"/>
  <c r="N19"/>
  <c r="N16"/>
  <c r="N17"/>
  <c r="O18"/>
  <c r="O19"/>
  <c r="O16"/>
  <c r="O17"/>
  <c r="B61" i="13"/>
  <c r="L61" s="1"/>
  <c r="B60"/>
  <c r="L60" s="1"/>
  <c r="B59"/>
  <c r="M59" s="1"/>
  <c r="B49"/>
  <c r="M49" s="1"/>
  <c r="B58"/>
  <c r="K58" s="1"/>
  <c r="B57"/>
  <c r="I57" s="1"/>
  <c r="B56"/>
  <c r="M56" s="1"/>
  <c r="B55"/>
  <c r="I55" s="1"/>
  <c r="B54"/>
  <c r="K54" s="1"/>
  <c r="B44"/>
  <c r="I44" s="1"/>
  <c r="B50"/>
  <c r="K50" s="1"/>
  <c r="B53"/>
  <c r="M53" s="1"/>
  <c r="B46"/>
  <c r="M46" s="1"/>
  <c r="B45"/>
  <c r="I45" s="1"/>
  <c r="B51"/>
  <c r="K51" s="1"/>
  <c r="B48"/>
  <c r="K48" s="1"/>
  <c r="B52"/>
  <c r="I52" s="1"/>
  <c r="L47"/>
  <c r="I47"/>
  <c r="M47"/>
  <c r="K47"/>
  <c r="M57"/>
  <c r="M63"/>
  <c r="U72" i="16"/>
  <c r="AD24" i="13"/>
  <c r="M14"/>
  <c r="AA14"/>
  <c r="AA15" s="1"/>
  <c r="AA19"/>
  <c r="L59" l="1"/>
  <c r="L63"/>
  <c r="K63"/>
  <c r="I62"/>
  <c r="L62"/>
  <c r="M62"/>
  <c r="P17" i="12"/>
  <c r="P19"/>
  <c r="P18"/>
  <c r="P16"/>
  <c r="K59" i="13"/>
  <c r="M60"/>
  <c r="I60"/>
  <c r="K60"/>
  <c r="M61"/>
  <c r="I61"/>
  <c r="K61"/>
  <c r="I59"/>
  <c r="K49"/>
  <c r="I49"/>
  <c r="L49"/>
  <c r="L54"/>
  <c r="L57"/>
  <c r="L58"/>
  <c r="M54"/>
  <c r="M58"/>
  <c r="I54"/>
  <c r="I58"/>
  <c r="K44"/>
  <c r="K57"/>
  <c r="L56"/>
  <c r="L55"/>
  <c r="K56"/>
  <c r="I56"/>
  <c r="K55"/>
  <c r="M55"/>
  <c r="L44"/>
  <c r="M44"/>
  <c r="L50"/>
  <c r="M50"/>
  <c r="I53"/>
  <c r="I50"/>
  <c r="L53"/>
  <c r="K46"/>
  <c r="K53"/>
  <c r="L46"/>
  <c r="M52"/>
  <c r="K52"/>
  <c r="L45"/>
  <c r="I46"/>
  <c r="L52"/>
  <c r="M51"/>
  <c r="K45"/>
  <c r="I51"/>
  <c r="M48"/>
  <c r="L51"/>
  <c r="L48"/>
  <c r="M45"/>
  <c r="I48"/>
  <c r="Q14"/>
  <c r="Q15" s="1"/>
  <c r="M15"/>
  <c r="K14"/>
  <c r="K15" s="1"/>
  <c r="O14"/>
  <c r="O15" s="1"/>
  <c r="W14"/>
  <c r="W15" s="1"/>
  <c r="I14"/>
  <c r="I15" s="1"/>
  <c r="AC14"/>
  <c r="AC15" s="1"/>
  <c r="U14"/>
  <c r="U15" s="1"/>
  <c r="S14"/>
  <c r="S15" s="1"/>
  <c r="I19"/>
  <c r="W19"/>
  <c r="Q19"/>
  <c r="M19"/>
  <c r="S19"/>
  <c r="AC19"/>
  <c r="O19"/>
  <c r="U19"/>
  <c r="K19"/>
  <c r="AB60" l="1"/>
  <c r="AB58"/>
  <c r="AB61"/>
  <c r="AJ19"/>
  <c r="AB59"/>
  <c r="AB63"/>
  <c r="AB62"/>
  <c r="AI2" i="12"/>
  <c r="AH2"/>
  <c r="AG2"/>
  <c r="AF2"/>
  <c r="AE2"/>
  <c r="AD2"/>
  <c r="AC2"/>
  <c r="AB2"/>
  <c r="P63" i="13" l="1"/>
  <c r="P41"/>
  <c r="P60"/>
  <c r="P62"/>
  <c r="P61"/>
  <c r="P58"/>
  <c r="P59"/>
  <c r="P52"/>
  <c r="P56"/>
  <c r="P57"/>
  <c r="P54"/>
  <c r="P55"/>
  <c r="P53"/>
  <c r="P47"/>
  <c r="P50"/>
  <c r="P48"/>
  <c r="P51"/>
  <c r="P49"/>
  <c r="P46"/>
  <c r="P45"/>
  <c r="P26"/>
  <c r="P38"/>
  <c r="P25"/>
  <c r="P27"/>
  <c r="P29"/>
  <c r="P44"/>
  <c r="P30"/>
  <c r="P32"/>
  <c r="P31"/>
  <c r="P24"/>
  <c r="P28"/>
  <c r="P36"/>
  <c r="P33"/>
  <c r="P39"/>
  <c r="P34"/>
  <c r="P40"/>
  <c r="P42"/>
  <c r="P35"/>
  <c r="P37"/>
  <c r="P43"/>
  <c r="AJ2" i="12"/>
  <c r="AM3" i="18" l="1"/>
  <c r="AG3"/>
  <c r="AC3"/>
  <c r="Y3"/>
  <c r="T3"/>
  <c r="O3"/>
  <c r="AD3"/>
  <c r="U3"/>
  <c r="Q3"/>
  <c r="J3"/>
  <c r="AL3"/>
  <c r="AF3"/>
  <c r="AB3"/>
  <c r="X3"/>
  <c r="S3"/>
  <c r="L3"/>
  <c r="AQ3"/>
  <c r="AK3"/>
  <c r="AE3"/>
  <c r="W3"/>
  <c r="R3"/>
  <c r="K3"/>
  <c r="AP3"/>
  <c r="AH3"/>
  <c r="AJ16" i="13"/>
  <c r="AJ15" s="1"/>
  <c r="Y45" l="1"/>
  <c r="Y47"/>
  <c r="Y46"/>
  <c r="S51" l="1"/>
  <c r="AC51" l="1"/>
  <c r="AJ51"/>
  <c r="AF51"/>
  <c r="AA51"/>
  <c r="Y51"/>
  <c r="Y50"/>
  <c r="S50"/>
  <c r="AJ50" s="1"/>
  <c r="AF50" l="1"/>
  <c r="AA50"/>
  <c r="AC50"/>
  <c r="Y49" l="1"/>
  <c r="S49"/>
  <c r="AA49" s="1"/>
  <c r="Y48"/>
  <c r="S48"/>
  <c r="AJ48" s="1"/>
  <c r="AJ49" l="1"/>
  <c r="AC49"/>
  <c r="AF48"/>
  <c r="AF49"/>
  <c r="AA48"/>
  <c r="AC48"/>
  <c r="AA124" i="16"/>
  <c r="AA121"/>
  <c r="AA126"/>
  <c r="AA122"/>
  <c r="AA119"/>
  <c r="AA118"/>
  <c r="AA123"/>
  <c r="AA120"/>
  <c r="AA125"/>
  <c r="U118"/>
  <c r="T119"/>
  <c r="T120"/>
  <c r="T121"/>
  <c r="P119"/>
  <c r="P120"/>
  <c r="P121"/>
  <c r="Q118"/>
  <c r="T118"/>
</calcChain>
</file>

<file path=xl/comments1.xml><?xml version="1.0" encoding="utf-8"?>
<comments xmlns="http://schemas.openxmlformats.org/spreadsheetml/2006/main">
  <authors>
    <author>Romain Roussy</author>
  </authors>
  <commentList>
    <comment ref="F5" authorId="0">
      <text>
        <r>
          <rPr>
            <b/>
            <sz val="9"/>
            <color indexed="81"/>
            <rFont val="Tahoma"/>
            <family val="2"/>
          </rPr>
          <t>Permet de ne pas utiliser un jet de dés automatique, vous devrez rempli la ligne "Jet de dés"</t>
        </r>
      </text>
    </comment>
    <comment ref="AH8" authorId="0">
      <text>
        <r>
          <rPr>
            <sz val="9"/>
            <color indexed="81"/>
            <rFont val="Tahoma"/>
            <family val="2"/>
          </rPr>
          <t>Applique la dernière carrière selectionnée
au profil final</t>
        </r>
      </text>
    </comment>
    <comment ref="AH9" authorId="0">
      <text>
        <r>
          <rPr>
            <b/>
            <sz val="9"/>
            <color indexed="81"/>
            <rFont val="Tahoma"/>
            <family val="2"/>
          </rPr>
          <t>Autorise seulement les débouchés de carrières officielles</t>
        </r>
      </text>
    </comment>
  </commentList>
</comments>
</file>

<file path=xl/sharedStrings.xml><?xml version="1.0" encoding="utf-8"?>
<sst xmlns="http://schemas.openxmlformats.org/spreadsheetml/2006/main" count="14916" uniqueCount="932">
  <si>
    <t>Humain</t>
  </si>
  <si>
    <t>Halfling</t>
  </si>
  <si>
    <t>Talents</t>
  </si>
  <si>
    <t>CC</t>
  </si>
  <si>
    <t>CT</t>
  </si>
  <si>
    <t>F</t>
  </si>
  <si>
    <t>E</t>
  </si>
  <si>
    <t>Ag</t>
  </si>
  <si>
    <t>Int</t>
  </si>
  <si>
    <t>FM</t>
  </si>
  <si>
    <t>Soc</t>
  </si>
  <si>
    <t>Nain</t>
  </si>
  <si>
    <t>Elfe</t>
  </si>
  <si>
    <t>A</t>
  </si>
  <si>
    <t>B</t>
  </si>
  <si>
    <t>M</t>
  </si>
  <si>
    <t>Mag</t>
  </si>
  <si>
    <t>agitateur</t>
  </si>
  <si>
    <t>apprenti sorcier</t>
  </si>
  <si>
    <t>artisan</t>
  </si>
  <si>
    <t>bateleur</t>
  </si>
  <si>
    <t>batelier</t>
  </si>
  <si>
    <t>berserk norse</t>
  </si>
  <si>
    <t>bourgeois</t>
  </si>
  <si>
    <t>bucheron</t>
  </si>
  <si>
    <t>charbonnier</t>
  </si>
  <si>
    <t>chasseur de prîmes</t>
  </si>
  <si>
    <t>chasseur</t>
  </si>
  <si>
    <t>chirurgien barbier</t>
  </si>
  <si>
    <t>cocher</t>
  </si>
  <si>
    <t>collecteur de taxes</t>
  </si>
  <si>
    <t>combatant des tunnels</t>
  </si>
  <si>
    <t>contrebandier</t>
  </si>
  <si>
    <t>coupe-jarret</t>
  </si>
  <si>
    <t>diestro estalien</t>
  </si>
  <si>
    <t>écuyer</t>
  </si>
  <si>
    <t>emissaire elfe</t>
  </si>
  <si>
    <t>escroc</t>
  </si>
  <si>
    <t>fanatique</t>
  </si>
  <si>
    <t>garde</t>
  </si>
  <si>
    <t>garde du corps</t>
  </si>
  <si>
    <t>gardien tribal</t>
  </si>
  <si>
    <t>geolier</t>
  </si>
  <si>
    <t>gladiateur</t>
  </si>
  <si>
    <t>hors-la-loi</t>
  </si>
  <si>
    <t>initie</t>
  </si>
  <si>
    <t>kossar kiskevite</t>
  </si>
  <si>
    <t>marin</t>
  </si>
  <si>
    <t>matelot</t>
  </si>
  <si>
    <t>mercanti</t>
  </si>
  <si>
    <t>mercenaire</t>
  </si>
  <si>
    <t>messager</t>
  </si>
  <si>
    <t>milicien</t>
  </si>
  <si>
    <t>mineur</t>
  </si>
  <si>
    <t>noble</t>
  </si>
  <si>
    <t>passeur</t>
  </si>
  <si>
    <t>patrouilleur</t>
  </si>
  <si>
    <t>paysan</t>
  </si>
  <si>
    <t>pilleur de tombe</t>
  </si>
  <si>
    <t>porterune</t>
  </si>
  <si>
    <t>ratier</t>
  </si>
  <si>
    <t>regisseur</t>
  </si>
  <si>
    <t>scribe</t>
  </si>
  <si>
    <t>sentinelle halfling</t>
  </si>
  <si>
    <t>serviteur</t>
  </si>
  <si>
    <t>soldat</t>
  </si>
  <si>
    <t>sorcier de village</t>
  </si>
  <si>
    <t>spadassin</t>
  </si>
  <si>
    <t>trafiquant de cadavre</t>
  </si>
  <si>
    <t>tueur de trolls</t>
  </si>
  <si>
    <t>vagabond</t>
  </si>
  <si>
    <t>valet</t>
  </si>
  <si>
    <t>voleur</t>
  </si>
  <si>
    <t>Race</t>
  </si>
  <si>
    <t>Nom</t>
  </si>
  <si>
    <t>perception</t>
  </si>
  <si>
    <t>marchandage</t>
  </si>
  <si>
    <t>connaissances academique(astronomie ou histoire)</t>
  </si>
  <si>
    <t>une au choix: Cf livre</t>
  </si>
  <si>
    <t>Mains agiles</t>
  </si>
  <si>
    <t>Guerrier né</t>
  </si>
  <si>
    <t xml:space="preserve">Harmonie aethyrique </t>
  </si>
  <si>
    <t>Total</t>
  </si>
  <si>
    <t>PD</t>
  </si>
  <si>
    <t>Talent</t>
  </si>
  <si>
    <t xml:space="preserve">Choix </t>
  </si>
  <si>
    <t xml:space="preserve">ref: </t>
  </si>
  <si>
    <t>Course à pied</t>
  </si>
  <si>
    <t>Sixieme sens</t>
  </si>
  <si>
    <t>Chance</t>
  </si>
  <si>
    <t>Tir en puissance</t>
  </si>
  <si>
    <t>Tireur d'élite</t>
  </si>
  <si>
    <t>Combat virevoltant</t>
  </si>
  <si>
    <t>Acuité auditive</t>
  </si>
  <si>
    <t>Adresse au tir</t>
  </si>
  <si>
    <t>Calcul mental</t>
  </si>
  <si>
    <t>Camouflage rural</t>
  </si>
  <si>
    <t xml:space="preserve"> </t>
  </si>
  <si>
    <t>Acquis</t>
  </si>
  <si>
    <t>Signe astrologique</t>
  </si>
  <si>
    <t>Veste de cuir</t>
  </si>
  <si>
    <t>Tracts diverses (2D10)</t>
  </si>
  <si>
    <t>Sac à dos</t>
  </si>
  <si>
    <t>Livre imprimé</t>
  </si>
  <si>
    <t>Gilet de cuir</t>
  </si>
  <si>
    <t>Bouteille d'alcool fort</t>
  </si>
  <si>
    <t>Arme à deux mains</t>
  </si>
  <si>
    <t>Bouclier</t>
  </si>
  <si>
    <t>Lanterne</t>
  </si>
  <si>
    <t>Hachette</t>
  </si>
  <si>
    <t>Torche</t>
  </si>
  <si>
    <t>Boite à amadou</t>
  </si>
  <si>
    <t>Calotte de cuir</t>
  </si>
  <si>
    <t>Nécessaire anti-poison</t>
  </si>
  <si>
    <t>Menottes</t>
  </si>
  <si>
    <t>Corde 10m</t>
  </si>
  <si>
    <t>Carreaux (10)</t>
  </si>
  <si>
    <t>Filet</t>
  </si>
  <si>
    <t>Carriole</t>
  </si>
  <si>
    <t>Outils (Chirurgien Barbier)</t>
  </si>
  <si>
    <t>Munition à poudre (10)</t>
  </si>
  <si>
    <t>Fouet</t>
  </si>
  <si>
    <t>Lasso</t>
  </si>
  <si>
    <t>Cheval sellé</t>
  </si>
  <si>
    <t>Demi-lance</t>
  </si>
  <si>
    <t>Cagoule de mailles</t>
  </si>
  <si>
    <t>Gilet de mailles</t>
  </si>
  <si>
    <t>Accessoires de calligraphie</t>
  </si>
  <si>
    <t>Beaux atours</t>
  </si>
  <si>
    <t>Dés</t>
  </si>
  <si>
    <t>Paquet de cartes</t>
  </si>
  <si>
    <t>Grappin</t>
  </si>
  <si>
    <t>Outre</t>
  </si>
  <si>
    <t>Mule</t>
  </si>
  <si>
    <t>Coup de poing</t>
  </si>
  <si>
    <t>Livres scolaire</t>
  </si>
  <si>
    <t>Couronnes d'or (1D10)</t>
  </si>
  <si>
    <t>Fléau d'arme</t>
  </si>
  <si>
    <t>Morgenstern</t>
  </si>
  <si>
    <t>Perche</t>
  </si>
  <si>
    <t>Fleuret</t>
  </si>
  <si>
    <t>Uniforme</t>
  </si>
  <si>
    <t>Huile pour lampe</t>
  </si>
  <si>
    <t>Rondache</t>
  </si>
  <si>
    <t>Dague</t>
  </si>
  <si>
    <t>Dague de jet</t>
  </si>
  <si>
    <t>Arc court</t>
  </si>
  <si>
    <t>Arc Elfique</t>
  </si>
  <si>
    <t>Flèches (10)</t>
  </si>
  <si>
    <t>Bouteille de vin</t>
  </si>
  <si>
    <t>Chope</t>
  </si>
  <si>
    <t>Bolas</t>
  </si>
  <si>
    <t>Symbole religieux</t>
  </si>
  <si>
    <t>Petit sac</t>
  </si>
  <si>
    <t>Tente</t>
  </si>
  <si>
    <t>Porte-bonheur</t>
  </si>
  <si>
    <t>Outil d'artisanat</t>
  </si>
  <si>
    <t>Potion de soin</t>
  </si>
  <si>
    <t>Etui à cartes</t>
  </si>
  <si>
    <t>Hallebarde</t>
  </si>
  <si>
    <t>Pioche à deux mains</t>
  </si>
  <si>
    <t>Lampe à tempête</t>
  </si>
  <si>
    <t>Atour noble</t>
  </si>
  <si>
    <t>Bijoux (6D10 CO)</t>
  </si>
  <si>
    <t>Fronde</t>
  </si>
  <si>
    <t>Flasque de cuir</t>
  </si>
  <si>
    <t>Hameçon</t>
  </si>
  <si>
    <t>Lance</t>
  </si>
  <si>
    <t>Collet (4)</t>
  </si>
  <si>
    <t>Petit chien méchant</t>
  </si>
  <si>
    <t>Rats morts (1D10)</t>
  </si>
  <si>
    <t>Bougie de cire (2)</t>
  </si>
  <si>
    <t>Allumette (5)</t>
  </si>
  <si>
    <t>Pelle</t>
  </si>
  <si>
    <t>Poney sellé</t>
  </si>
  <si>
    <t>Chope en étain</t>
  </si>
  <si>
    <t>Arquebuse</t>
  </si>
  <si>
    <t>Capuchon</t>
  </si>
  <si>
    <t>Ration (1 semaine)</t>
  </si>
  <si>
    <t>Parfum</t>
  </si>
  <si>
    <t>Bourse</t>
  </si>
  <si>
    <t>Outils de crochetage</t>
  </si>
  <si>
    <t>Bateau à rame</t>
  </si>
  <si>
    <t>Besaces (3)</t>
  </si>
  <si>
    <t>Coffre</t>
  </si>
  <si>
    <t>Instrument de musique</t>
  </si>
  <si>
    <t>Wymund l'Anachorète</t>
  </si>
  <si>
    <t>La Grande Croix</t>
  </si>
  <si>
    <t>Le Trait du Peintre</t>
  </si>
  <si>
    <t>Gnuchus le Buffle</t>
  </si>
  <si>
    <t>Dragomas le Dragon</t>
  </si>
  <si>
    <t>Le Crépuscule</t>
  </si>
  <si>
    <t>Le Fourreau de Grugni</t>
  </si>
  <si>
    <t>Mammit le Sage</t>
  </si>
  <si>
    <t>Mummit le Fou</t>
  </si>
  <si>
    <t>Les Deux Bœufs</t>
  </si>
  <si>
    <t>Le Danseur</t>
  </si>
  <si>
    <t>Le Tambour</t>
  </si>
  <si>
    <t>Le Flûtiste</t>
  </si>
  <si>
    <t>Vobist le Pâle</t>
  </si>
  <si>
    <t>La Charrette Brisée</t>
  </si>
  <si>
    <t>La Chèvre sauvage</t>
  </si>
  <si>
    <t>Le Chaudron de Rhya</t>
  </si>
  <si>
    <t>Cackelfax le Coq</t>
  </si>
  <si>
    <t>Le Grimoire</t>
  </si>
  <si>
    <t>L'Etoile du Sorcier</t>
  </si>
  <si>
    <t>Freres et soeurs</t>
  </si>
  <si>
    <t>POIDS</t>
  </si>
  <si>
    <t>Argenté</t>
  </si>
  <si>
    <t>Blond cendré</t>
  </si>
  <si>
    <t>Paille</t>
  </si>
  <si>
    <t>Blond</t>
  </si>
  <si>
    <t>Auburn</t>
  </si>
  <si>
    <t>Châtain clair</t>
  </si>
  <si>
    <t>Châtain</t>
  </si>
  <si>
    <t>Brun</t>
  </si>
  <si>
    <t>Noir</t>
  </si>
  <si>
    <t>Roux</t>
  </si>
  <si>
    <t>Bleu Foncé</t>
  </si>
  <si>
    <t>Couleur des cheveux</t>
  </si>
  <si>
    <t>Gris-bleu</t>
  </si>
  <si>
    <t>Bleu</t>
  </si>
  <si>
    <t>Vert</t>
  </si>
  <si>
    <t>Cuivre</t>
  </si>
  <si>
    <t>Marron clair</t>
  </si>
  <si>
    <t xml:space="preserve">Marron </t>
  </si>
  <si>
    <t>Marron foncé</t>
  </si>
  <si>
    <t>Argent</t>
  </si>
  <si>
    <t>Mauve</t>
  </si>
  <si>
    <t>Noisette</t>
  </si>
  <si>
    <t>Gris clair</t>
  </si>
  <si>
    <t>Couleur des yeux</t>
  </si>
  <si>
    <t>ÂGE</t>
  </si>
  <si>
    <t>Âge</t>
  </si>
  <si>
    <t>Poids</t>
  </si>
  <si>
    <t>Sexe</t>
  </si>
  <si>
    <t xml:space="preserve">Anika </t>
  </si>
  <si>
    <t xml:space="preserve"> Bardin</t>
  </si>
  <si>
    <t xml:space="preserve">Asta </t>
  </si>
  <si>
    <t xml:space="preserve"> Brokk</t>
  </si>
  <si>
    <t xml:space="preserve">Astrid </t>
  </si>
  <si>
    <t xml:space="preserve"> Dimzad</t>
  </si>
  <si>
    <t xml:space="preserve">Berta </t>
  </si>
  <si>
    <t xml:space="preserve"> Durak</t>
  </si>
  <si>
    <t xml:space="preserve">Brigit </t>
  </si>
  <si>
    <t xml:space="preserve"> Garil</t>
  </si>
  <si>
    <t xml:space="preserve">Dagmar </t>
  </si>
  <si>
    <t xml:space="preserve"> Gottri</t>
  </si>
  <si>
    <t xml:space="preserve">Elsa </t>
  </si>
  <si>
    <t xml:space="preserve"> Grundi</t>
  </si>
  <si>
    <t xml:space="preserve">Erika </t>
  </si>
  <si>
    <t xml:space="preserve"> Hargin</t>
  </si>
  <si>
    <t xml:space="preserve">Franziska </t>
  </si>
  <si>
    <t xml:space="preserve"> Imrak</t>
  </si>
  <si>
    <t xml:space="preserve">Gréta </t>
  </si>
  <si>
    <t xml:space="preserve"> Kargun</t>
  </si>
  <si>
    <t xml:space="preserve">Hunni </t>
  </si>
  <si>
    <t xml:space="preserve"> Jotunn</t>
  </si>
  <si>
    <t xml:space="preserve">Ingrid </t>
  </si>
  <si>
    <t xml:space="preserve"> Magnar</t>
  </si>
  <si>
    <t xml:space="preserve">Janna </t>
  </si>
  <si>
    <t xml:space="preserve"> Mordrin</t>
  </si>
  <si>
    <t xml:space="preserve">Karin </t>
  </si>
  <si>
    <t xml:space="preserve"> Nargond</t>
  </si>
  <si>
    <t xml:space="preserve">Pétra </t>
  </si>
  <si>
    <t xml:space="preserve"> Orzad</t>
  </si>
  <si>
    <t xml:space="preserve">Sigrir </t>
  </si>
  <si>
    <t xml:space="preserve"> Ragnar</t>
  </si>
  <si>
    <t xml:space="preserve">Sigrun </t>
  </si>
  <si>
    <t xml:space="preserve"> Snorri</t>
  </si>
  <si>
    <t xml:space="preserve">Silma </t>
  </si>
  <si>
    <t xml:space="preserve"> Storri</t>
  </si>
  <si>
    <t xml:space="preserve">Thylda </t>
  </si>
  <si>
    <t xml:space="preserve"> Thingrim</t>
  </si>
  <si>
    <t xml:space="preserve">Ulla </t>
  </si>
  <si>
    <t xml:space="preserve"> Urgrim</t>
  </si>
  <si>
    <t xml:space="preserve">Agnès </t>
  </si>
  <si>
    <t xml:space="preserve"> Adam</t>
  </si>
  <si>
    <t xml:space="preserve">Alice </t>
  </si>
  <si>
    <t xml:space="preserve"> Albert</t>
  </si>
  <si>
    <t xml:space="preserve">Elena </t>
  </si>
  <si>
    <t xml:space="preserve"> Alfred</t>
  </si>
  <si>
    <t xml:space="preserve">Eva </t>
  </si>
  <si>
    <t xml:space="preserve"> Alex</t>
  </si>
  <si>
    <t xml:space="preserve">Frida </t>
  </si>
  <si>
    <t xml:space="preserve"> Carl</t>
  </si>
  <si>
    <t xml:space="preserve"> Edgar</t>
  </si>
  <si>
    <t xml:space="preserve">Hanna </t>
  </si>
  <si>
    <t xml:space="preserve"> Hugo</t>
  </si>
  <si>
    <t xml:space="preserve">Heidi </t>
  </si>
  <si>
    <t xml:space="preserve"> Jakob</t>
  </si>
  <si>
    <t xml:space="preserve">Hilda </t>
  </si>
  <si>
    <t xml:space="preserve"> Ludo</t>
  </si>
  <si>
    <t xml:space="preserve"> Max</t>
  </si>
  <si>
    <t xml:space="preserve"> Niklaus</t>
  </si>
  <si>
    <t xml:space="preserve">Lein </t>
  </si>
  <si>
    <t xml:space="preserve"> Oskar</t>
  </si>
  <si>
    <t xml:space="preserve">Marie </t>
  </si>
  <si>
    <t xml:space="preserve"> Paul</t>
  </si>
  <si>
    <t xml:space="preserve"> Ralf</t>
  </si>
  <si>
    <t xml:space="preserve"> Rudi</t>
  </si>
  <si>
    <t xml:space="preserve">Sophia </t>
  </si>
  <si>
    <t xml:space="preserve"> Théo</t>
  </si>
  <si>
    <t xml:space="preserve">Susi </t>
  </si>
  <si>
    <t xml:space="preserve"> Thomas</t>
  </si>
  <si>
    <t xml:space="preserve">Théda </t>
  </si>
  <si>
    <t xml:space="preserve"> Udo</t>
  </si>
  <si>
    <t xml:space="preserve"> Viktor</t>
  </si>
  <si>
    <t xml:space="preserve">Wanda </t>
  </si>
  <si>
    <t xml:space="preserve"> Walter</t>
  </si>
  <si>
    <t xml:space="preserve">Alane </t>
  </si>
  <si>
    <t xml:space="preserve"> Aluthol</t>
  </si>
  <si>
    <t xml:space="preserve">Altronia </t>
  </si>
  <si>
    <t xml:space="preserve"> Amendil</t>
  </si>
  <si>
    <t xml:space="preserve">Davandrel </t>
  </si>
  <si>
    <t xml:space="preserve"> Angran</t>
  </si>
  <si>
    <t xml:space="preserve">Eldril </t>
  </si>
  <si>
    <t xml:space="preserve"> Cavindel</t>
  </si>
  <si>
    <t xml:space="preserve">Eponia </t>
  </si>
  <si>
    <t xml:space="preserve"> Dolwen</t>
  </si>
  <si>
    <t xml:space="preserve">Fanriel </t>
  </si>
  <si>
    <t xml:space="preserve"> Eldillor</t>
  </si>
  <si>
    <t xml:space="preserve">Filamir </t>
  </si>
  <si>
    <t xml:space="preserve"> Falendra</t>
  </si>
  <si>
    <t xml:space="preserve">Gallina </t>
  </si>
  <si>
    <t xml:space="preserve"> Farnoth</t>
  </si>
  <si>
    <t xml:space="preserve">Halion </t>
  </si>
  <si>
    <t xml:space="preserve"> Gildiril</t>
  </si>
  <si>
    <t xml:space="preserve">Iludil </t>
  </si>
  <si>
    <t xml:space="preserve"> Harrond</t>
  </si>
  <si>
    <t xml:space="preserve">Ionor </t>
  </si>
  <si>
    <t xml:space="preserve"> Imhol</t>
  </si>
  <si>
    <t xml:space="preserve">Lindara </t>
  </si>
  <si>
    <t xml:space="preserve"> Larandar</t>
  </si>
  <si>
    <t xml:space="preserve">Lorandara </t>
  </si>
  <si>
    <t xml:space="preserve"> Laurenor</t>
  </si>
  <si>
    <t xml:space="preserve">Maruviel </t>
  </si>
  <si>
    <t xml:space="preserve"> Mellion</t>
  </si>
  <si>
    <t xml:space="preserve">Pelgrana </t>
  </si>
  <si>
    <t xml:space="preserve"> Mormacar</t>
  </si>
  <si>
    <t xml:space="preserve">Siluvaine </t>
  </si>
  <si>
    <t xml:space="preserve"> Ravandil</t>
  </si>
  <si>
    <t xml:space="preserve">Tallana </t>
  </si>
  <si>
    <t xml:space="preserve"> Torendil</t>
  </si>
  <si>
    <t xml:space="preserve">Ulliana </t>
  </si>
  <si>
    <t xml:space="preserve"> Urdithane</t>
  </si>
  <si>
    <t xml:space="preserve">Vivandrel </t>
  </si>
  <si>
    <t xml:space="preserve"> Valahuir</t>
  </si>
  <si>
    <t xml:space="preserve">Yuviel </t>
  </si>
  <si>
    <t xml:space="preserve"> Yavandir</t>
  </si>
  <si>
    <t xml:space="preserve">Alexa </t>
  </si>
  <si>
    <t xml:space="preserve"> Adelbert</t>
  </si>
  <si>
    <t xml:space="preserve">Alfrida </t>
  </si>
  <si>
    <t xml:space="preserve"> Albrecht</t>
  </si>
  <si>
    <t xml:space="preserve">Béatrix </t>
  </si>
  <si>
    <t xml:space="preserve"> Berthold</t>
  </si>
  <si>
    <t xml:space="preserve">Bianka </t>
  </si>
  <si>
    <t xml:space="preserve"> Dierter</t>
  </si>
  <si>
    <t xml:space="preserve">Carlott </t>
  </si>
  <si>
    <t xml:space="preserve"> Eckhardt</t>
  </si>
  <si>
    <t xml:space="preserve">Elfrida </t>
  </si>
  <si>
    <t xml:space="preserve"> Félix</t>
  </si>
  <si>
    <t xml:space="preserve">Elise </t>
  </si>
  <si>
    <t xml:space="preserve"> Gottfried</t>
  </si>
  <si>
    <t xml:space="preserve">Gabrielle </t>
  </si>
  <si>
    <t xml:space="preserve"> Gustav</t>
  </si>
  <si>
    <t xml:space="preserve">Gretchen </t>
  </si>
  <si>
    <t xml:space="preserve"> Heinz</t>
  </si>
  <si>
    <t xml:space="preserve"> Johann</t>
  </si>
  <si>
    <t xml:space="preserve">Ilsa </t>
  </si>
  <si>
    <t xml:space="preserve"> Leopold</t>
  </si>
  <si>
    <t xml:space="preserve">Jarla </t>
  </si>
  <si>
    <t xml:space="preserve"> Magnus</t>
  </si>
  <si>
    <t xml:space="preserve">Ludmilla </t>
  </si>
  <si>
    <t xml:space="preserve"> Otto</t>
  </si>
  <si>
    <t xml:space="preserve">Mathilde </t>
  </si>
  <si>
    <t xml:space="preserve"> Pieter</t>
  </si>
  <si>
    <t xml:space="preserve">Régina </t>
  </si>
  <si>
    <t xml:space="preserve"> Rudiger</t>
  </si>
  <si>
    <t xml:space="preserve">Solveig </t>
  </si>
  <si>
    <t xml:space="preserve"> Siegfried</t>
  </si>
  <si>
    <t xml:space="preserve">Théodora </t>
  </si>
  <si>
    <t xml:space="preserve"> Ulrich</t>
  </si>
  <si>
    <t xml:space="preserve">Ulrike </t>
  </si>
  <si>
    <t xml:space="preserve"> Waldemar</t>
  </si>
  <si>
    <t xml:space="preserve">Wertha </t>
  </si>
  <si>
    <t xml:space="preserve"> Wolfgang</t>
  </si>
  <si>
    <t>Prénom Femin</t>
  </si>
  <si>
    <t>Prénom Masculin</t>
  </si>
  <si>
    <t>Taille</t>
  </si>
  <si>
    <t>Taille F</t>
  </si>
  <si>
    <t>Taille M</t>
  </si>
  <si>
    <t>Blessures</t>
  </si>
  <si>
    <t>Point de Destin</t>
  </si>
  <si>
    <t>Langue (Eltharin)</t>
  </si>
  <si>
    <t>Langue (Halfling)</t>
  </si>
  <si>
    <t>Expérimenté</t>
  </si>
  <si>
    <t>CarriereFaite</t>
  </si>
  <si>
    <t>Bonus</t>
  </si>
  <si>
    <t>Aristocrate</t>
  </si>
  <si>
    <t>Assassin</t>
  </si>
  <si>
    <t>Aubergiste</t>
  </si>
  <si>
    <t>Bandit de grand chemin</t>
  </si>
  <si>
    <t>Bourreau</t>
  </si>
  <si>
    <t>Capitaine</t>
  </si>
  <si>
    <t>Capitaine de navire</t>
  </si>
  <si>
    <t>Champion</t>
  </si>
  <si>
    <t>Champion de justice</t>
  </si>
  <si>
    <t>Charlatan</t>
  </si>
  <si>
    <t>Chasseur de vampires</t>
  </si>
  <si>
    <t>Chef de bandes</t>
  </si>
  <si>
    <t>Chevalier</t>
  </si>
  <si>
    <t>Chevalier du cercle intérieur</t>
  </si>
  <si>
    <t>Compagnon sorcier</t>
  </si>
  <si>
    <t>Courtisan</t>
  </si>
  <si>
    <t>Démagogue</t>
  </si>
  <si>
    <t>Duelliste</t>
  </si>
  <si>
    <t>Erudit</t>
  </si>
  <si>
    <t>Espion</t>
  </si>
  <si>
    <t>Explorateur</t>
  </si>
  <si>
    <t>Flagellant</t>
  </si>
  <si>
    <t>Franc-archer</t>
  </si>
  <si>
    <t>Grand prêtre</t>
  </si>
  <si>
    <t>Héraut</t>
  </si>
  <si>
    <t>Ingénieur</t>
  </si>
  <si>
    <t>Intendant</t>
  </si>
  <si>
    <t>Maître-artisan</t>
  </si>
  <si>
    <t>Maître de guilde</t>
  </si>
  <si>
    <t>Maître sorcier</t>
  </si>
  <si>
    <t>Marchand</t>
  </si>
  <si>
    <t>Médecin</t>
  </si>
  <si>
    <t>Ménestrel</t>
  </si>
  <si>
    <t>Moine</t>
  </si>
  <si>
    <t>Monte-en-l'air</t>
  </si>
  <si>
    <t>Navigateur</t>
  </si>
  <si>
    <t>Officier en second</t>
  </si>
  <si>
    <t>Pisteur</t>
  </si>
  <si>
    <t>Pistolier</t>
  </si>
  <si>
    <t>Politicien</t>
  </si>
  <si>
    <t>Prêtre</t>
  </si>
  <si>
    <t>Prêtre consacré</t>
  </si>
  <si>
    <t>Prince des voleurs</t>
  </si>
  <si>
    <t>Racketteur</t>
  </si>
  <si>
    <t>Receleur</t>
  </si>
  <si>
    <t>Répurgateur</t>
  </si>
  <si>
    <t>Rôdeur fantôme</t>
  </si>
  <si>
    <t>Seigneur sorcier</t>
  </si>
  <si>
    <t>Sergent</t>
  </si>
  <si>
    <t>Tueur de démons</t>
  </si>
  <si>
    <t>Tueur de géant</t>
  </si>
  <si>
    <t>Vétéran</t>
  </si>
  <si>
    <t>Baron du crime</t>
  </si>
  <si>
    <t>bûcheron</t>
  </si>
  <si>
    <t>Carriere de Base</t>
  </si>
  <si>
    <t xml:space="preserve">Deuxième Carriere </t>
  </si>
  <si>
    <t>Profil Initial</t>
  </si>
  <si>
    <t>Profil de Race</t>
  </si>
  <si>
    <t>Car</t>
  </si>
  <si>
    <t>Couleurs des cheuveux</t>
  </si>
  <si>
    <t>Couleurs des yeux</t>
  </si>
  <si>
    <t>Oui</t>
  </si>
  <si>
    <t>Débouché uniquement</t>
  </si>
  <si>
    <t>Canotage</t>
  </si>
  <si>
    <t>Charisme</t>
  </si>
  <si>
    <t>Commandement</t>
  </si>
  <si>
    <t>Conduite d'attelage</t>
  </si>
  <si>
    <t>Déguisement</t>
  </si>
  <si>
    <t>Déplacement silencieux</t>
  </si>
  <si>
    <t>Dissimulation</t>
  </si>
  <si>
    <t>Equitation</t>
  </si>
  <si>
    <t>Escalade</t>
  </si>
  <si>
    <t>Evaluation</t>
  </si>
  <si>
    <t>Fouille</t>
  </si>
  <si>
    <t>Intimidation</t>
  </si>
  <si>
    <t>Jeu</t>
  </si>
  <si>
    <t>Marchandage</t>
  </si>
  <si>
    <t>Natattion</t>
  </si>
  <si>
    <t>Perception</t>
  </si>
  <si>
    <t>Résistance à l'alcool</t>
  </si>
  <si>
    <t>Soins des animaux</t>
  </si>
  <si>
    <t>Survie</t>
  </si>
  <si>
    <t xml:space="preserve">F </t>
  </si>
  <si>
    <t xml:space="preserve">E </t>
  </si>
  <si>
    <t>Camouflage souterrain</t>
  </si>
  <si>
    <t>Camouflage urbain</t>
  </si>
  <si>
    <t>Chirurgie</t>
  </si>
  <si>
    <t xml:space="preserve">Code de la rue </t>
  </si>
  <si>
    <t>Combat de rue</t>
  </si>
  <si>
    <t>Connaissance des pièges</t>
  </si>
  <si>
    <t>Coup assomant</t>
  </si>
  <si>
    <t>Désarmement</t>
  </si>
  <si>
    <t>Dur a cuir</t>
  </si>
  <si>
    <t>Eloquence</t>
  </si>
  <si>
    <t>Etiquette</t>
  </si>
  <si>
    <t xml:space="preserve">Force accrue </t>
  </si>
  <si>
    <t>Frénésie</t>
  </si>
  <si>
    <t>Fuite</t>
  </si>
  <si>
    <t>Grand voyageur</t>
  </si>
  <si>
    <t>Linguistique</t>
  </si>
  <si>
    <t>Lutte</t>
  </si>
  <si>
    <t>Magie commune (occulte)</t>
  </si>
  <si>
    <t>Magie commune (vulgaire)</t>
  </si>
  <si>
    <t>Maitrise armes de cavalerie</t>
  </si>
  <si>
    <t>Maitrise armes de parade</t>
  </si>
  <si>
    <t>Maitrise armes d'escrime</t>
  </si>
  <si>
    <t>Maitrise armes lourdes</t>
  </si>
  <si>
    <t>Maitrise armes paralysante</t>
  </si>
  <si>
    <t>Maitrise des arcs longs</t>
  </si>
  <si>
    <t>Maitrise fleaux</t>
  </si>
  <si>
    <t xml:space="preserve">Réflexe éclair </t>
  </si>
  <si>
    <t xml:space="preserve">Résistance accrue </t>
  </si>
  <si>
    <t>Résistance aux maladies</t>
  </si>
  <si>
    <t>Résistance aux poisons</t>
  </si>
  <si>
    <t>Saint d'esprit</t>
  </si>
  <si>
    <t xml:space="preserve">Sociable </t>
  </si>
  <si>
    <t>Sur ses gardes</t>
  </si>
  <si>
    <t>Duplicate</t>
  </si>
  <si>
    <t>Intelligent</t>
  </si>
  <si>
    <t>Intrigant</t>
  </si>
  <si>
    <t xml:space="preserve">Sang froid </t>
  </si>
  <si>
    <t>Sens de l'orientation</t>
  </si>
  <si>
    <t>Rechargement rapide</t>
  </si>
  <si>
    <t>Bâton</t>
  </si>
  <si>
    <t>Livre enluminé</t>
  </si>
  <si>
    <t>Rapière</t>
  </si>
  <si>
    <t>Générateur de personnage pour Warhammer 2nd édition V2.0</t>
  </si>
  <si>
    <t>Frère et sœur</t>
  </si>
  <si>
    <t>Coup prècis</t>
  </si>
  <si>
    <t>Profil de base</t>
  </si>
  <si>
    <t>Arc long</t>
  </si>
  <si>
    <t>Vêtements confortable</t>
  </si>
  <si>
    <t>Sens de la magie</t>
  </si>
  <si>
    <t>Baratin</t>
  </si>
  <si>
    <t>Braconnage</t>
  </si>
  <si>
    <t>Equipements</t>
  </si>
  <si>
    <t xml:space="preserve">XP Acquises </t>
  </si>
  <si>
    <t>Compétences</t>
  </si>
  <si>
    <t>Pistage</t>
  </si>
  <si>
    <t>Orientation</t>
  </si>
  <si>
    <t>Navigation</t>
  </si>
  <si>
    <t>Natation</t>
  </si>
  <si>
    <t>Lire/Ecrire</t>
  </si>
  <si>
    <t>Hypnotisme</t>
  </si>
  <si>
    <t>Focalisation</t>
  </si>
  <si>
    <t>Filature</t>
  </si>
  <si>
    <t>Expression artistique (danseur)</t>
  </si>
  <si>
    <t>Expression artistique (conteur)</t>
  </si>
  <si>
    <t>Expression artistique (2 au choix)</t>
  </si>
  <si>
    <t>Esquive</t>
  </si>
  <si>
    <t>Dressage</t>
  </si>
  <si>
    <t>Connaissances académique ( au choix)</t>
  </si>
  <si>
    <t>Connaissances académique (droit)</t>
  </si>
  <si>
    <t>Connaissances générales (Bretonnie)</t>
  </si>
  <si>
    <t>Connaissances générales (Elfe)</t>
  </si>
  <si>
    <t>Connaissances générales (Empire)</t>
  </si>
  <si>
    <t>Connaissances générales (Estalie)</t>
  </si>
  <si>
    <t>Connaissances générales (Kislev)</t>
  </si>
  <si>
    <t>Connaissances générales (Nain)</t>
  </si>
  <si>
    <t>Connaissances générales (Norsca)</t>
  </si>
  <si>
    <t>Connaissances générales (Tilée)</t>
  </si>
  <si>
    <t>Connaissances académique (une au choix)</t>
  </si>
  <si>
    <t>Language mystique (Magick)</t>
  </si>
  <si>
    <t>Language secret (Bataille)</t>
  </si>
  <si>
    <t>Language secret (Guilde)</t>
  </si>
  <si>
    <t>Language secret (Rodeur)</t>
  </si>
  <si>
    <t>Language secret (Voleur)</t>
  </si>
  <si>
    <t>Langue (Bretonnien)</t>
  </si>
  <si>
    <t>Langue (Classique)</t>
  </si>
  <si>
    <t>Langue (Estalie)</t>
  </si>
  <si>
    <t>Langue (Kazalid)</t>
  </si>
  <si>
    <t>Langue (Kislev)</t>
  </si>
  <si>
    <t>Langue (Norsce)</t>
  </si>
  <si>
    <t>Métier (2 au choix)</t>
  </si>
  <si>
    <t>Métier (Apothicaire)</t>
  </si>
  <si>
    <t>Métier (1 au choix)</t>
  </si>
  <si>
    <t>Métier (Calligraphie)</t>
  </si>
  <si>
    <t>Métier (Marchand)</t>
  </si>
  <si>
    <t>Métier (Mineur ou Prospecteur)</t>
  </si>
  <si>
    <t>Connaissances académique (Droit)</t>
  </si>
  <si>
    <t>Connaissances académique (Généaologie)</t>
  </si>
  <si>
    <t>Connaissances académique (Héraldique)</t>
  </si>
  <si>
    <t>Connaissances académique (Magie)</t>
  </si>
  <si>
    <t>Connaissances académique (Science)</t>
  </si>
  <si>
    <t>Connaissances académique (Théologie)</t>
  </si>
  <si>
    <t>Connaissances académique (Histoire)</t>
  </si>
  <si>
    <t>Langue (Tilée)</t>
  </si>
  <si>
    <t>Alphabet secret (Pisteur)</t>
  </si>
  <si>
    <t>Alphabet secret (Rôdeur)</t>
  </si>
  <si>
    <t>Alphabet secret (Voleur)</t>
  </si>
  <si>
    <t>Language secret (Rôdeur)</t>
  </si>
  <si>
    <t>Connaissances générales (Pays perdu)</t>
  </si>
  <si>
    <t>Escamotage</t>
  </si>
  <si>
    <t>Expression artistique (musicien)</t>
  </si>
  <si>
    <t>Métier (Fermier)</t>
  </si>
  <si>
    <t>Expression artistique (chanteur)</t>
  </si>
  <si>
    <t>Expression artistique (Acteur)</t>
  </si>
  <si>
    <t>Expression artistique (Conteur)</t>
  </si>
  <si>
    <t>Expression artistique (Chanteur)</t>
  </si>
  <si>
    <t>Expression artistique (Danseur)</t>
  </si>
  <si>
    <t>Expression artistique (Musicien)</t>
  </si>
  <si>
    <t>Métier (Cuisinier)</t>
  </si>
  <si>
    <t>Emprise sur les animaux</t>
  </si>
  <si>
    <t>Métier (Fabriquant d'arcs)</t>
  </si>
  <si>
    <t>Crochetage</t>
  </si>
  <si>
    <t>Connaissances académique (1 au choix)</t>
  </si>
  <si>
    <t>Connaissances académique (Nécromancie)</t>
  </si>
  <si>
    <t>Soins</t>
  </si>
  <si>
    <t>Langue (Reikspiel)</t>
  </si>
  <si>
    <t>Masculin</t>
  </si>
  <si>
    <t>Connaissances générales (Halfling)</t>
  </si>
  <si>
    <t>Caracteristique</t>
  </si>
  <si>
    <t>Equipement</t>
  </si>
  <si>
    <t>Parcours</t>
  </si>
  <si>
    <t>Carriere</t>
  </si>
  <si>
    <t>Compétence de base</t>
  </si>
  <si>
    <t>Feminin</t>
  </si>
  <si>
    <t>Harmonie aethyrique ou Maitrise des arcs longs</t>
  </si>
  <si>
    <t>Intelligent ou sang-froid</t>
  </si>
  <si>
    <t>Fureur vengeresse</t>
  </si>
  <si>
    <t>Résistance à la magie</t>
  </si>
  <si>
    <t>Robuste</t>
  </si>
  <si>
    <t>Valeureux</t>
  </si>
  <si>
    <t>Vision nocturne</t>
  </si>
  <si>
    <t>Résistance au chaos</t>
  </si>
  <si>
    <t>Maitrise armes à feu</t>
  </si>
  <si>
    <t>Maitrise des lance-pierres</t>
  </si>
  <si>
    <t>TalentHumain</t>
  </si>
  <si>
    <t>TalentHalfling</t>
  </si>
  <si>
    <t>Acuité visuelle</t>
  </si>
  <si>
    <t>Ambidextrie</t>
  </si>
  <si>
    <t>Imitation</t>
  </si>
  <si>
    <t>Savoir-faire nain</t>
  </si>
  <si>
    <t>Acrobatie équestre</t>
  </si>
  <si>
    <t>Dur en affaires</t>
  </si>
  <si>
    <t>Menaçant</t>
  </si>
  <si>
    <t>Sens aiguisés</t>
  </si>
  <si>
    <t>Métier (Cuisinier ou Fermier)</t>
  </si>
  <si>
    <t>Métier (Forgeron)</t>
  </si>
  <si>
    <t>Métier (Maçon)</t>
  </si>
  <si>
    <t>Métier (Forgeron, maçon ou mineur)</t>
  </si>
  <si>
    <t>Enc</t>
  </si>
  <si>
    <t>Portée</t>
  </si>
  <si>
    <t>Recharge</t>
  </si>
  <si>
    <t>Groupe</t>
  </si>
  <si>
    <t>Attribut</t>
  </si>
  <si>
    <t>Dégâts</t>
  </si>
  <si>
    <t>Armure</t>
  </si>
  <si>
    <t>Tête</t>
  </si>
  <si>
    <t>Corps</t>
  </si>
  <si>
    <t>Localisation</t>
  </si>
  <si>
    <t>Bras Droit</t>
  </si>
  <si>
    <t>Bras Gauche</t>
  </si>
  <si>
    <t>Jambe Droite</t>
  </si>
  <si>
    <t>Jambe Gauche</t>
  </si>
  <si>
    <t>PA</t>
  </si>
  <si>
    <t>1 - 15</t>
  </si>
  <si>
    <t>16 - 35</t>
  </si>
  <si>
    <t>36 - 55</t>
  </si>
  <si>
    <t>56 - 80</t>
  </si>
  <si>
    <t>81 - 90</t>
  </si>
  <si>
    <t>91 - 00</t>
  </si>
  <si>
    <t>Dgt</t>
  </si>
  <si>
    <t>A mitraille</t>
  </si>
  <si>
    <t>Assomante</t>
  </si>
  <si>
    <t>Défensive</t>
  </si>
  <si>
    <t>Equilibrée</t>
  </si>
  <si>
    <t>Expérimentale</t>
  </si>
  <si>
    <t>Immobilisante</t>
  </si>
  <si>
    <t>Lente</t>
  </si>
  <si>
    <t>Percutante</t>
  </si>
  <si>
    <t>Perforante</t>
  </si>
  <si>
    <t>Peu fiable</t>
  </si>
  <si>
    <t>Précise</t>
  </si>
  <si>
    <t>Rapide</t>
  </si>
  <si>
    <t>Lourdes</t>
  </si>
  <si>
    <t>Ordinaires</t>
  </si>
  <si>
    <t>Parade</t>
  </si>
  <si>
    <t>Cavalerie</t>
  </si>
  <si>
    <t>Fléaux</t>
  </si>
  <si>
    <t>Escrime</t>
  </si>
  <si>
    <t>Arbalètes</t>
  </si>
  <si>
    <t>Arcs longs</t>
  </si>
  <si>
    <t>Mécanique</t>
  </si>
  <si>
    <t>Poudre</t>
  </si>
  <si>
    <t>Paralysantes</t>
  </si>
  <si>
    <t>Lance-pierres</t>
  </si>
  <si>
    <t>Jet</t>
  </si>
  <si>
    <t>Arme à une main</t>
  </si>
  <si>
    <t>Arme improvisée</t>
  </si>
  <si>
    <t>Spéciale</t>
  </si>
  <si>
    <t>AttributAll</t>
  </si>
  <si>
    <t>Brise-lame</t>
  </si>
  <si>
    <t>Disponibilité</t>
  </si>
  <si>
    <t>Banal</t>
  </si>
  <si>
    <t>Très courant</t>
  </si>
  <si>
    <t>Courant</t>
  </si>
  <si>
    <t>Assez courant</t>
  </si>
  <si>
    <t>Inhabituel</t>
  </si>
  <si>
    <t>Rare</t>
  </si>
  <si>
    <t>Très rare</t>
  </si>
  <si>
    <t>Gantelet</t>
  </si>
  <si>
    <t>Lance de cavalerie</t>
  </si>
  <si>
    <t>Main gauche</t>
  </si>
  <si>
    <t>Mains nues</t>
  </si>
  <si>
    <t>Arbalète à répétition</t>
  </si>
  <si>
    <t>Arbalète de poing</t>
  </si>
  <si>
    <t>Arbalète</t>
  </si>
  <si>
    <t>Arc elfique</t>
  </si>
  <si>
    <t xml:space="preserve">Arc long </t>
  </si>
  <si>
    <t>Arc</t>
  </si>
  <si>
    <t>Arquebuse à répétition</t>
  </si>
  <si>
    <t>Fustibale</t>
  </si>
  <si>
    <t>Hache de jet</t>
  </si>
  <si>
    <t>Javelot</t>
  </si>
  <si>
    <t>Long fusil d'Hochland</t>
  </si>
  <si>
    <t>Pistolet à répétition</t>
  </si>
  <si>
    <t>Pistolet</t>
  </si>
  <si>
    <t>Tromblon</t>
  </si>
  <si>
    <t>NUL</t>
  </si>
  <si>
    <t>16/32</t>
  </si>
  <si>
    <t>8/16</t>
  </si>
  <si>
    <t>30/60</t>
  </si>
  <si>
    <t>36/72</t>
  </si>
  <si>
    <t>24/48</t>
  </si>
  <si>
    <t>6/-</t>
  </si>
  <si>
    <t>6/12</t>
  </si>
  <si>
    <t>4/8</t>
  </si>
  <si>
    <t>8/-</t>
  </si>
  <si>
    <t>48/96</t>
  </si>
  <si>
    <t>32/-</t>
  </si>
  <si>
    <t>Gratuit</t>
  </si>
  <si>
    <t>1/2 A</t>
  </si>
  <si>
    <t>Action</t>
  </si>
  <si>
    <t>2 Actions</t>
  </si>
  <si>
    <t>Gratuit*</t>
  </si>
  <si>
    <t>3 Actions</t>
  </si>
  <si>
    <t>Epuisante</t>
  </si>
  <si>
    <t>NA</t>
  </si>
  <si>
    <t>tp</t>
  </si>
  <si>
    <t>cp</t>
  </si>
  <si>
    <t xml:space="preserve">Coup puissant </t>
  </si>
  <si>
    <t>Lance (Jet)</t>
  </si>
  <si>
    <t>CarriereBaseElfe</t>
  </si>
  <si>
    <t>CarriereBaseHalfling</t>
  </si>
  <si>
    <t>CarriereBaseHumain</t>
  </si>
  <si>
    <t>ListeEquipement</t>
  </si>
  <si>
    <t>ListeCarriereBase</t>
  </si>
  <si>
    <t>CarriereBaseNain</t>
  </si>
  <si>
    <t>ListeCompétence</t>
  </si>
  <si>
    <t>ArmeAttribut</t>
  </si>
  <si>
    <t>ArmeGroupe</t>
  </si>
  <si>
    <t>Torture</t>
  </si>
  <si>
    <t>Ventriloquie</t>
  </si>
  <si>
    <t>Préparation de poison</t>
  </si>
  <si>
    <t>Lecture sur les lèvres</t>
  </si>
  <si>
    <t>Chemise de mailles</t>
  </si>
  <si>
    <t>Manteau de mailles à manches</t>
  </si>
  <si>
    <t>Manteau de mailles</t>
  </si>
  <si>
    <t>Brassard d'acier</t>
  </si>
  <si>
    <t>Casque</t>
  </si>
  <si>
    <t>Plastron</t>
  </si>
  <si>
    <t>Maitrise (deux au choix)</t>
  </si>
  <si>
    <t>Besace</t>
  </si>
  <si>
    <t>Sans peur</t>
  </si>
  <si>
    <t>Connaissances générales (une au choix)</t>
  </si>
  <si>
    <t>Connaissances générales (deux au choix)</t>
  </si>
  <si>
    <t>Parade éclair</t>
  </si>
  <si>
    <t>Troublant</t>
  </si>
  <si>
    <t>Piolet</t>
  </si>
  <si>
    <t>Armure complète de cuir</t>
  </si>
  <si>
    <t>Armure complète de mailles</t>
  </si>
  <si>
    <t>Armure de plaque complète</t>
  </si>
  <si>
    <t>Connaissances académique (Stratégie)</t>
  </si>
  <si>
    <t>Connaissances académique (2 au choix)</t>
  </si>
  <si>
    <t>Connaissances académique (3 au choix)</t>
  </si>
  <si>
    <t>Language mystique (Démoniaque)</t>
  </si>
  <si>
    <t>Language mystique (Elfe mystique)</t>
  </si>
  <si>
    <t>Connaissances générales (trois au choix)</t>
  </si>
  <si>
    <t>Langue (1 au choix)</t>
  </si>
  <si>
    <t>Langue (2 au choix)</t>
  </si>
  <si>
    <t>Langue (3 au choix)</t>
  </si>
  <si>
    <t>Langue (4 au choix)</t>
  </si>
  <si>
    <t>Projectile puissant</t>
  </si>
  <si>
    <t>Magie mineur (deux au choix)</t>
  </si>
  <si>
    <t>Magie noire</t>
  </si>
  <si>
    <t>Méditation</t>
  </si>
  <si>
    <t>Objets magique (3)</t>
  </si>
  <si>
    <t>Grimoires (12)</t>
  </si>
  <si>
    <t>Grimoire</t>
  </si>
  <si>
    <t>Tir de précision</t>
  </si>
  <si>
    <t>Armure complète de cuir de qualité exceptionnelle</t>
  </si>
  <si>
    <t>Maitrise des arbalètes</t>
  </si>
  <si>
    <t>Maitrise armes de jet</t>
  </si>
  <si>
    <t>Arme à une main de qualité exceptionnelle</t>
  </si>
  <si>
    <t>Dague de jet (4)</t>
  </si>
  <si>
    <t>Jambières de cuir</t>
  </si>
  <si>
    <t>Jambières de mailles</t>
  </si>
  <si>
    <t>Jambières d'acier</t>
  </si>
  <si>
    <t>Armure de plaques complète</t>
  </si>
  <si>
    <t>Compétence Avancées</t>
  </si>
  <si>
    <t>Compétences Bases</t>
  </si>
  <si>
    <t>jeu</t>
  </si>
  <si>
    <t>Pied-de-biche</t>
  </si>
  <si>
    <t>Besace (2)</t>
  </si>
  <si>
    <t>Hache de jet (2)</t>
  </si>
  <si>
    <t>Outils de crochetage de qualité exceptionnelle</t>
  </si>
  <si>
    <t>Cape</t>
  </si>
  <si>
    <t>Corde (10m)</t>
  </si>
  <si>
    <t>Corde de qualité expectionnelle (10m)</t>
  </si>
  <si>
    <t>Chef de bande</t>
  </si>
  <si>
    <t>geôlier</t>
  </si>
  <si>
    <t>Incantation de bataille</t>
  </si>
  <si>
    <t>Inspiration divine (une au choix)</t>
  </si>
  <si>
    <t>Orateur né</t>
  </si>
  <si>
    <t>Magie commune (divine)</t>
  </si>
  <si>
    <t>Livre de prière</t>
  </si>
  <si>
    <t>Une au choix (Cf. livre de règles)</t>
  </si>
  <si>
    <t>Veste de cuir de qualité exceptionnelle</t>
  </si>
  <si>
    <t>Pamphlets</t>
  </si>
  <si>
    <t>Pistolet (2)</t>
  </si>
  <si>
    <t>Munition à poudre (20)</t>
  </si>
  <si>
    <t>Cheval de guerre sellé</t>
  </si>
  <si>
    <t>Maitre artilleur</t>
  </si>
  <si>
    <t>BF</t>
  </si>
  <si>
    <t>Carac en ordre alpha pour lookup</t>
  </si>
  <si>
    <t>ListeCompetenceCarac</t>
  </si>
  <si>
    <t>Commérages</t>
  </si>
  <si>
    <t>Compétence avancées</t>
  </si>
  <si>
    <t>Dur à cuir</t>
  </si>
  <si>
    <t>chiffonnier</t>
  </si>
  <si>
    <t>pêcheur</t>
  </si>
  <si>
    <t>éclaireur</t>
  </si>
  <si>
    <t>étudiant</t>
  </si>
  <si>
    <t>Métier (Chantier naval)</t>
  </si>
  <si>
    <t>Connaissances académique (Astronomie)</t>
  </si>
  <si>
    <t>Métier (Cartographe)</t>
  </si>
  <si>
    <t>Cartes maritimes (6)</t>
  </si>
  <si>
    <t>Outils (instrument de navigation)</t>
  </si>
  <si>
    <t>Relique religieuse</t>
  </si>
  <si>
    <t>Robe</t>
  </si>
  <si>
    <t>Concatenation</t>
  </si>
  <si>
    <t>Cuir</t>
  </si>
  <si>
    <t>Mailles</t>
  </si>
  <si>
    <t>Plaque</t>
  </si>
  <si>
    <t>FINAL</t>
  </si>
  <si>
    <t>Bras</t>
  </si>
  <si>
    <t>Jambe</t>
  </si>
  <si>
    <t>Calcul ARMURE</t>
  </si>
  <si>
    <t>Compétences Avancées</t>
  </si>
  <si>
    <t>Start</t>
  </si>
  <si>
    <t>Jump</t>
  </si>
  <si>
    <t>Nb Compétence Av</t>
  </si>
  <si>
    <t>Profil final</t>
  </si>
  <si>
    <t>Costume de scène</t>
  </si>
  <si>
    <t>Instruments médicaux</t>
  </si>
  <si>
    <t>Potion de soin (4)</t>
  </si>
  <si>
    <t>Maison</t>
  </si>
  <si>
    <t>Entrepôt</t>
  </si>
  <si>
    <t>Marchandise (1000 CO)</t>
  </si>
  <si>
    <t>100 CO</t>
  </si>
  <si>
    <t>Guilde</t>
  </si>
  <si>
    <t>Objets magique (2)</t>
  </si>
  <si>
    <t>Métier (3 au choix)</t>
  </si>
  <si>
    <t>Talent artistique</t>
  </si>
  <si>
    <t>15 CO</t>
  </si>
  <si>
    <t>Atour noble (2)</t>
  </si>
  <si>
    <t>Connaissances académique (Ingénerie)</t>
  </si>
  <si>
    <t>Langue (Khazalid)</t>
  </si>
  <si>
    <t>Métier (Arquebusier)</t>
  </si>
  <si>
    <t>Maitrise armes mécaniques</t>
  </si>
  <si>
    <t>Matériel d'ingénieur</t>
  </si>
  <si>
    <t>Pointe (6)</t>
  </si>
  <si>
    <t>Connaissances académique (Généaologie/Héraldique)</t>
  </si>
  <si>
    <t>Beaux atours (2)</t>
  </si>
  <si>
    <t>Dague de jet (2)</t>
  </si>
  <si>
    <t>Livres scolaire (2)</t>
  </si>
  <si>
    <t>1D10 CO</t>
  </si>
  <si>
    <t>Vêtements confortable (2)</t>
  </si>
  <si>
    <t>Torche (2)</t>
  </si>
  <si>
    <t>Torche (3)</t>
  </si>
  <si>
    <t>Arme d'escrime de qualité exceptionnelle</t>
  </si>
  <si>
    <t>Atours noble</t>
  </si>
  <si>
    <t>Atours noble (2)</t>
  </si>
  <si>
    <t>Atours noble de qualité exceptionnelle</t>
  </si>
  <si>
    <t>500 CO</t>
  </si>
  <si>
    <t>Bijoux (500 CO)</t>
  </si>
  <si>
    <t>Destrier sellé</t>
  </si>
  <si>
    <t>Poison (1 dose)</t>
  </si>
  <si>
    <t>Serviteur</t>
  </si>
  <si>
    <t>Auberge</t>
  </si>
  <si>
    <t>Organisation criminelle</t>
  </si>
  <si>
    <t>Relique sacrée</t>
  </si>
  <si>
    <t>Language secret (1 au choix)</t>
  </si>
  <si>
    <t>Accessoires de déguisement</t>
  </si>
  <si>
    <t>Pigeons voyageurs (4)</t>
  </si>
  <si>
    <t>Connaissances générales (2 au choix)</t>
  </si>
  <si>
    <t>Connaissances générales (3 au choix)</t>
  </si>
  <si>
    <t>Connaissances générales (1 au choix)</t>
  </si>
  <si>
    <t>Expression artistique (1 au choix)</t>
  </si>
  <si>
    <t>Connaissances académique (Art)</t>
  </si>
  <si>
    <t>Atours noble (4)</t>
  </si>
  <si>
    <t>Valet</t>
  </si>
  <si>
    <t>Métier (Brasseur)</t>
  </si>
  <si>
    <t>Dague (5)</t>
  </si>
  <si>
    <t>Menottes (3)</t>
  </si>
  <si>
    <t>Unité de troupes</t>
  </si>
  <si>
    <t>Longue vue</t>
  </si>
  <si>
    <t>Navire</t>
  </si>
  <si>
    <t>Arme de qualité exceptionnelle (6)</t>
  </si>
  <si>
    <t>Maitrise (2 au choix)</t>
  </si>
  <si>
    <t>Maitrise (3 au choix)</t>
  </si>
  <si>
    <t>Vêtements communs (6)</t>
  </si>
  <si>
    <t>Faux documents</t>
  </si>
  <si>
    <t>Bouteille d'eau colorée (4)</t>
  </si>
  <si>
    <t>Bouteille de poudre colorée (4)</t>
  </si>
  <si>
    <t>Beaux atours (4)</t>
  </si>
  <si>
    <t>Eau bénite</t>
  </si>
  <si>
    <t>Pieux (4)</t>
  </si>
  <si>
    <t>Groupe de hors-la-loi</t>
  </si>
  <si>
    <t>25 CO</t>
  </si>
  <si>
    <t>Alphabet secret (Templier)</t>
  </si>
  <si>
    <t>Armure de plaques complète de qualité exceptionnelle</t>
  </si>
  <si>
    <t>Science de la magie (2 aux choix)</t>
  </si>
  <si>
    <t>Sombre savoir</t>
  </si>
  <si>
    <t>Richesses</t>
  </si>
  <si>
    <t>Armes</t>
  </si>
  <si>
    <t>Non</t>
  </si>
  <si>
    <t>Troisième Carriere</t>
  </si>
  <si>
    <t>Jet Manuel</t>
  </si>
  <si>
    <t>Jet de dés (auto)</t>
  </si>
  <si>
    <t>Jet de dés (Manuel)</t>
  </si>
  <si>
    <r>
      <t xml:space="preserve">Suite au retour positif de la premiere version ainsi que les remarques/demandes reçues, voici  le nouveau générateur de PJ / PNJ pour Warhammer 2nd édition avec de nouvelles fonctionnalitées.
</t>
    </r>
    <r>
      <rPr>
        <b/>
        <u/>
        <sz val="11"/>
        <color theme="1"/>
        <rFont val="Calibri"/>
        <family val="2"/>
        <scheme val="minor"/>
      </rPr>
      <t>Les nouveautés:</t>
    </r>
    <r>
      <rPr>
        <sz val="11"/>
        <color theme="1"/>
        <rFont val="Calibri"/>
        <family val="2"/>
        <scheme val="minor"/>
      </rPr>
      <t xml:space="preserve">
</t>
    </r>
    <r>
      <rPr>
        <b/>
        <i/>
        <u/>
        <sz val="11"/>
        <color theme="1"/>
        <rFont val="Calibri"/>
        <family val="2"/>
        <scheme val="minor"/>
      </rPr>
      <t>Nouvelles fonctionnalitées:</t>
    </r>
    <r>
      <rPr>
        <sz val="11"/>
        <color theme="1"/>
        <rFont val="Calibri"/>
        <family val="2"/>
        <scheme val="minor"/>
      </rPr>
      <t xml:space="preserve">
-Possibilité de choisir la carrière de base et les carrières avancées
-Débouchés gérer automatiquement par le générateur
-Possibilité de cumuler jusqu'à 3 carrières de base et avancées
-Valeur en expérience des personnages créés
-Génération automatique du poids, de la taille, et autre caractéristique physique selon la race et le sexe des personnages
-Ajout des carrières avancées
-Génération automatique des compètences
-Gestion des points armure automatique en fonction de l'équipement
-Dégats des armes automatique en fonction des caractéristique ainsi que des talents
-Possibilité de faire manuellement les jets de dés pour la création de personnage 
</t>
    </r>
    <r>
      <rPr>
        <b/>
        <i/>
        <u/>
        <sz val="11"/>
        <color theme="1"/>
        <rFont val="Calibri"/>
        <family val="2"/>
        <scheme val="minor"/>
      </rPr>
      <t xml:space="preserve">Et toujours:
</t>
    </r>
    <r>
      <rPr>
        <sz val="11"/>
        <color theme="1"/>
        <rFont val="Calibri"/>
        <family val="2"/>
        <scheme val="minor"/>
      </rPr>
      <t xml:space="preserve">
- Gestion automatique des profils de carrière, des talents et des compètences
- Rapide et intuitif
- Gestion des équipements
- Possibilité de prendre en compte le carriere en cours ou non (option expérimenté)
</t>
    </r>
    <r>
      <rPr>
        <b/>
        <i/>
        <u/>
        <sz val="11"/>
        <color theme="1"/>
        <rFont val="Calibri"/>
        <family val="2"/>
        <scheme val="minor"/>
      </rPr>
      <t>Informations:</t>
    </r>
    <r>
      <rPr>
        <sz val="11"/>
        <color theme="1"/>
        <rFont val="Calibri"/>
        <family val="2"/>
        <scheme val="minor"/>
      </rPr>
      <t xml:space="preserve">
Tous les champs en bleu clair sont configurable tandis que les champs en violet sont défini par le générateur
La case expérimenté permet d'appliquer au profil la dernière carrière sélectionnée ou non.
La case "Débouché uniquement" permet proposer uniquement les débouché officiels dans l'évolution d'un personnage. 
Les carrières commençant avec une majuscule sont des carrière avancées 
</t>
    </r>
    <r>
      <rPr>
        <b/>
        <i/>
        <u/>
        <sz val="11"/>
        <color theme="1"/>
        <rFont val="Calibri"/>
        <family val="2"/>
        <scheme val="minor"/>
      </rPr>
      <t xml:space="preserve">Post-scriptum:
</t>
    </r>
    <r>
      <rPr>
        <sz val="11"/>
        <color theme="1"/>
        <rFont val="Calibri"/>
        <family val="2"/>
        <scheme val="minor"/>
      </rPr>
      <t xml:space="preserve">
Des erreurs se sont probablement glissées dans ce document, afin de l'améliorer merci de m'avertir pour correction.
</t>
    </r>
    <r>
      <rPr>
        <b/>
        <u/>
        <sz val="11"/>
        <color theme="1"/>
        <rFont val="Calibri"/>
        <family val="2"/>
        <scheme val="minor"/>
      </rPr>
      <t/>
    </r>
  </si>
</sst>
</file>

<file path=xl/styles.xml><?xml version="1.0" encoding="utf-8"?>
<styleSheet xmlns="http://schemas.openxmlformats.org/spreadsheetml/2006/main">
  <fonts count="27">
    <font>
      <sz val="11"/>
      <color theme="1"/>
      <name val="Calibri"/>
      <family val="2"/>
      <scheme val="minor"/>
    </font>
    <font>
      <b/>
      <i/>
      <sz val="10"/>
      <name val="Arial"/>
      <family val="2"/>
    </font>
    <font>
      <b/>
      <sz val="11"/>
      <name val="Arial"/>
      <family val="2"/>
    </font>
    <font>
      <sz val="10"/>
      <name val="Arial"/>
      <family val="2"/>
    </font>
    <font>
      <sz val="12"/>
      <name val="Algerian"/>
      <family val="5"/>
    </font>
    <font>
      <b/>
      <sz val="11"/>
      <color theme="1"/>
      <name val="Calibri"/>
      <family val="2"/>
      <scheme val="minor"/>
    </font>
    <font>
      <sz val="11"/>
      <color theme="1" tint="0.499984740745262"/>
      <name val="Calibri"/>
      <family val="2"/>
      <scheme val="minor"/>
    </font>
    <font>
      <sz val="11"/>
      <name val="Calibri"/>
      <family val="2"/>
      <scheme val="minor"/>
    </font>
    <font>
      <sz val="12"/>
      <color theme="1"/>
      <name val="Calibri"/>
      <family val="2"/>
      <scheme val="minor"/>
    </font>
    <font>
      <sz val="14"/>
      <color theme="1"/>
      <name val="Calibri"/>
      <family val="2"/>
      <scheme val="minor"/>
    </font>
    <font>
      <b/>
      <i/>
      <u/>
      <sz val="11"/>
      <color theme="1"/>
      <name val="Calibri"/>
      <family val="2"/>
      <scheme val="minor"/>
    </font>
    <font>
      <sz val="11"/>
      <color theme="3" tint="0.39997558519241921"/>
      <name val="Calibri"/>
      <family val="2"/>
      <scheme val="minor"/>
    </font>
    <font>
      <sz val="14"/>
      <color theme="1"/>
      <name val="Georgia"/>
      <family val="1"/>
    </font>
    <font>
      <b/>
      <u/>
      <sz val="11"/>
      <color theme="1"/>
      <name val="Calibri"/>
      <family val="2"/>
      <scheme val="minor"/>
    </font>
    <font>
      <b/>
      <sz val="18"/>
      <color theme="1"/>
      <name val="Calibri"/>
      <family val="2"/>
      <scheme val="minor"/>
    </font>
    <font>
      <b/>
      <sz val="20"/>
      <color theme="1"/>
      <name val="Calibri"/>
      <family val="2"/>
      <scheme val="minor"/>
    </font>
    <font>
      <sz val="11"/>
      <color theme="9" tint="0.39997558519241921"/>
      <name val="Calibri"/>
      <family val="2"/>
      <scheme val="minor"/>
    </font>
    <font>
      <sz val="11"/>
      <color theme="0"/>
      <name val="Calibri"/>
      <family val="2"/>
      <scheme val="minor"/>
    </font>
    <font>
      <sz val="11"/>
      <color theme="1"/>
      <name val="Calibri"/>
      <family val="2"/>
      <scheme val="minor"/>
    </font>
    <font>
      <sz val="11"/>
      <color rgb="FF9C6500"/>
      <name val="Calibri"/>
      <family val="2"/>
      <scheme val="minor"/>
    </font>
    <font>
      <sz val="10"/>
      <color theme="1"/>
      <name val="Calibri"/>
      <family val="2"/>
      <scheme val="minor"/>
    </font>
    <font>
      <b/>
      <i/>
      <sz val="16"/>
      <name val="Arial"/>
      <family val="2"/>
    </font>
    <font>
      <b/>
      <sz val="16"/>
      <color theme="1"/>
      <name val="Calibri"/>
      <family val="2"/>
      <scheme val="minor"/>
    </font>
    <font>
      <b/>
      <sz val="12"/>
      <color theme="1"/>
      <name val="Calibri"/>
      <family val="2"/>
      <scheme val="minor"/>
    </font>
    <font>
      <b/>
      <sz val="14"/>
      <color theme="1"/>
      <name val="Calibri"/>
      <family val="2"/>
      <scheme val="minor"/>
    </font>
    <font>
      <sz val="9"/>
      <color indexed="81"/>
      <name val="Tahoma"/>
      <family val="2"/>
    </font>
    <font>
      <b/>
      <sz val="9"/>
      <color indexed="81"/>
      <name val="Tahoma"/>
      <family val="2"/>
    </font>
  </fonts>
  <fills count="2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0000"/>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rgb="FFFFFFCC"/>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00B050"/>
        <bgColor indexed="64"/>
      </patternFill>
    </fill>
    <fill>
      <patternFill patternType="solid">
        <fgColor theme="0" tint="-0.249977111117893"/>
        <bgColor indexed="64"/>
      </patternFill>
    </fill>
  </fills>
  <borders count="7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18" fillId="16" borderId="70" applyNumberFormat="0" applyFont="0" applyAlignment="0" applyProtection="0"/>
  </cellStyleXfs>
  <cellXfs count="703">
    <xf numFmtId="0" fontId="0" fillId="0" borderId="0" xfId="0"/>
    <xf numFmtId="1" fontId="1" fillId="0" borderId="0" xfId="0" applyNumberFormat="1" applyFont="1" applyAlignment="1">
      <alignment horizontal="center"/>
    </xf>
    <xf numFmtId="49" fontId="0" fillId="0" borderId="0" xfId="0" applyNumberFormat="1"/>
    <xf numFmtId="0" fontId="0" fillId="0" borderId="1" xfId="0" applyBorder="1"/>
    <xf numFmtId="0" fontId="2" fillId="0" borderId="0" xfId="0" applyFont="1"/>
    <xf numFmtId="0" fontId="0" fillId="0" borderId="0" xfId="0" applyBorder="1"/>
    <xf numFmtId="0" fontId="0" fillId="0" borderId="0" xfId="0" applyAlignment="1">
      <alignment horizontal="left"/>
    </xf>
    <xf numFmtId="0" fontId="0" fillId="0" borderId="0" xfId="0" applyAlignment="1">
      <alignment horizontal="center" vertical="center"/>
    </xf>
    <xf numFmtId="0" fontId="0" fillId="0" borderId="20" xfId="0" applyBorder="1"/>
    <xf numFmtId="0" fontId="0" fillId="0" borderId="14" xfId="0" applyBorder="1"/>
    <xf numFmtId="0" fontId="0" fillId="0" borderId="21" xfId="0" applyBorder="1"/>
    <xf numFmtId="0" fontId="0" fillId="0" borderId="15" xfId="0" applyBorder="1"/>
    <xf numFmtId="0" fontId="0" fillId="0" borderId="22" xfId="0" applyBorder="1"/>
    <xf numFmtId="0" fontId="0" fillId="0" borderId="23" xfId="0" applyBorder="1"/>
    <xf numFmtId="0" fontId="0" fillId="0" borderId="16" xfId="0" applyBorder="1"/>
    <xf numFmtId="0" fontId="0" fillId="0" borderId="24" xfId="0" applyBorder="1"/>
    <xf numFmtId="0" fontId="0" fillId="0" borderId="17" xfId="0" applyBorder="1"/>
    <xf numFmtId="0" fontId="0" fillId="0" borderId="1"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33" xfId="0" applyBorder="1"/>
    <xf numFmtId="0" fontId="0" fillId="0" borderId="34" xfId="0" applyBorder="1"/>
    <xf numFmtId="0" fontId="0" fillId="0" borderId="35" xfId="0" applyBorder="1"/>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49" fontId="0" fillId="0" borderId="20" xfId="0" applyNumberFormat="1" applyBorder="1"/>
    <xf numFmtId="49" fontId="0" fillId="0" borderId="14" xfId="0" applyNumberFormat="1" applyBorder="1"/>
    <xf numFmtId="49" fontId="0" fillId="0" borderId="21" xfId="0" applyNumberFormat="1" applyBorder="1"/>
    <xf numFmtId="49" fontId="0" fillId="0" borderId="15" xfId="0" applyNumberFormat="1" applyBorder="1"/>
    <xf numFmtId="49" fontId="0" fillId="0" borderId="22" xfId="0" applyNumberFormat="1" applyBorder="1"/>
    <xf numFmtId="49" fontId="0" fillId="0" borderId="23" xfId="0" applyNumberFormat="1" applyBorder="1"/>
    <xf numFmtId="49" fontId="0" fillId="0" borderId="25" xfId="0" applyNumberFormat="1" applyBorder="1"/>
    <xf numFmtId="49" fontId="0" fillId="0" borderId="26" xfId="0" applyNumberFormat="1" applyBorder="1"/>
    <xf numFmtId="49" fontId="0" fillId="0" borderId="27" xfId="0" applyNumberFormat="1" applyBorder="1"/>
    <xf numFmtId="0" fontId="0" fillId="0" borderId="0" xfId="0" applyBorder="1" applyAlignment="1">
      <alignment horizontal="center" vertical="center" textRotation="90"/>
    </xf>
    <xf numFmtId="0" fontId="0" fillId="0" borderId="3" xfId="0" applyNumberFormat="1" applyBorder="1"/>
    <xf numFmtId="0" fontId="0" fillId="0" borderId="1" xfId="0" applyNumberFormat="1" applyBorder="1"/>
    <xf numFmtId="0" fontId="0" fillId="0" borderId="1"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49" fontId="0" fillId="0" borderId="28" xfId="0" applyNumberFormat="1" applyBorder="1"/>
    <xf numFmtId="49" fontId="0" fillId="0" borderId="29" xfId="0" applyNumberFormat="1" applyBorder="1"/>
    <xf numFmtId="49" fontId="0" fillId="0" borderId="41" xfId="0" applyNumberFormat="1" applyBorder="1"/>
    <xf numFmtId="0" fontId="0" fillId="0" borderId="0" xfId="0" applyBorder="1" applyAlignment="1"/>
    <xf numFmtId="0" fontId="0" fillId="0" borderId="20"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59" xfId="0" applyBorder="1" applyAlignment="1">
      <alignment horizontal="center" vertical="center"/>
    </xf>
    <xf numFmtId="0" fontId="8" fillId="0" borderId="0" xfId="0" applyFont="1" applyBorder="1" applyAlignment="1">
      <alignment horizontal="center" vertical="center"/>
    </xf>
    <xf numFmtId="0" fontId="0" fillId="4" borderId="3" xfId="0" applyFill="1" applyBorder="1" applyAlignment="1">
      <alignment horizontal="center" vertical="center" textRotation="90"/>
    </xf>
    <xf numFmtId="0" fontId="0" fillId="4" borderId="18" xfId="0" applyFill="1" applyBorder="1"/>
    <xf numFmtId="0" fontId="0" fillId="4" borderId="1" xfId="0" applyFill="1" applyBorder="1" applyAlignment="1">
      <alignment horizontal="center"/>
    </xf>
    <xf numFmtId="0" fontId="16" fillId="8" borderId="10" xfId="0" applyFont="1" applyFill="1" applyBorder="1"/>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24" xfId="0" applyBorder="1" applyAlignment="1">
      <alignment horizontal="center" vertical="center"/>
    </xf>
    <xf numFmtId="0" fontId="0" fillId="0" borderId="41" xfId="0" applyBorder="1" applyAlignment="1">
      <alignment horizontal="center" vertical="center"/>
    </xf>
    <xf numFmtId="0" fontId="0" fillId="0" borderId="17" xfId="0" applyBorder="1" applyAlignment="1">
      <alignment horizontal="center" vertical="center"/>
    </xf>
    <xf numFmtId="0" fontId="0" fillId="2" borderId="0" xfId="0" applyFill="1" applyBorder="1"/>
    <xf numFmtId="0" fontId="0" fillId="2" borderId="0" xfId="0" applyNumberFormat="1" applyFill="1" applyBorder="1" applyAlignment="1">
      <alignment textRotation="90"/>
    </xf>
    <xf numFmtId="0" fontId="0" fillId="2" borderId="0" xfId="0" applyNumberFormat="1" applyFill="1" applyBorder="1"/>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9" fontId="0" fillId="0" borderId="0" xfId="0" applyNumberFormat="1" applyBorder="1" applyAlignment="1">
      <alignment horizontal="center" vertical="center"/>
    </xf>
    <xf numFmtId="49" fontId="0" fillId="0" borderId="0" xfId="0" applyNumberFormat="1" applyBorder="1" applyAlignment="1"/>
    <xf numFmtId="49" fontId="0" fillId="0" borderId="20" xfId="0" applyNumberFormat="1" applyBorder="1" applyAlignment="1">
      <alignment horizontal="center" vertical="center"/>
    </xf>
    <xf numFmtId="49" fontId="0" fillId="0" borderId="24" xfId="0" applyNumberFormat="1" applyBorder="1" applyAlignment="1">
      <alignment horizontal="center" vertical="center"/>
    </xf>
    <xf numFmtId="49" fontId="0" fillId="0" borderId="0" xfId="0" applyNumberFormat="1" applyBorder="1" applyAlignment="1">
      <alignment horizontal="center"/>
    </xf>
    <xf numFmtId="0" fontId="0" fillId="0" borderId="0" xfId="0" applyBorder="1" applyAlignment="1">
      <alignment vertical="top" wrapText="1"/>
    </xf>
    <xf numFmtId="0" fontId="0" fillId="0" borderId="65"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33" xfId="0" applyBorder="1" applyAlignment="1">
      <alignment horizontal="center" vertical="center"/>
    </xf>
    <xf numFmtId="0" fontId="0" fillId="0" borderId="60" xfId="0" applyBorder="1" applyAlignment="1">
      <alignment horizontal="center" vertical="center"/>
    </xf>
    <xf numFmtId="49" fontId="0" fillId="14" borderId="14" xfId="0" applyNumberFormat="1" applyFill="1" applyBorder="1"/>
    <xf numFmtId="49" fontId="0" fillId="14" borderId="22" xfId="0" applyNumberFormat="1" applyFill="1" applyBorder="1"/>
    <xf numFmtId="0" fontId="16" fillId="8" borderId="18" xfId="0" applyFont="1" applyFill="1" applyBorder="1"/>
    <xf numFmtId="0" fontId="16" fillId="8" borderId="19" xfId="0" applyFont="1" applyFill="1" applyBorder="1"/>
    <xf numFmtId="0" fontId="0" fillId="0" borderId="17" xfId="0" applyBorder="1" applyAlignment="1">
      <alignment horizontal="center" vertical="center"/>
    </xf>
    <xf numFmtId="0" fontId="0" fillId="2" borderId="0" xfId="0" applyFill="1" applyBorder="1" applyAlignment="1"/>
    <xf numFmtId="0" fontId="0" fillId="2" borderId="0" xfId="0" applyFill="1" applyBorder="1" applyAlignment="1">
      <alignment vertical="top" wrapText="1"/>
    </xf>
    <xf numFmtId="49" fontId="0" fillId="0" borderId="0" xfId="0" applyNumberFormat="1" applyAlignment="1">
      <alignment horizontal="center" vertical="center"/>
    </xf>
    <xf numFmtId="0" fontId="0" fillId="2" borderId="20" xfId="0" applyFill="1" applyBorder="1" applyAlignment="1">
      <alignment horizontal="center" vertical="center"/>
    </xf>
    <xf numFmtId="0" fontId="0" fillId="0" borderId="31" xfId="0" applyFill="1" applyBorder="1" applyAlignment="1">
      <alignment horizontal="center" vertical="center"/>
    </xf>
    <xf numFmtId="49" fontId="0" fillId="0" borderId="31" xfId="0" applyNumberFormat="1" applyFill="1" applyBorder="1" applyAlignment="1">
      <alignment horizontal="center" vertical="center"/>
    </xf>
    <xf numFmtId="0" fontId="0" fillId="0" borderId="51" xfId="0" applyFill="1" applyBorder="1" applyAlignment="1">
      <alignment horizontal="center" vertical="center"/>
    </xf>
    <xf numFmtId="0" fontId="0" fillId="15" borderId="51"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49" fontId="0" fillId="0" borderId="43" xfId="0" applyNumberFormat="1" applyBorder="1" applyAlignment="1">
      <alignment horizontal="center" vertical="center"/>
    </xf>
    <xf numFmtId="49" fontId="0" fillId="0" borderId="10" xfId="0" applyNumberFormat="1" applyBorder="1" applyAlignment="1">
      <alignment horizontal="center" vertical="center"/>
    </xf>
    <xf numFmtId="49" fontId="0" fillId="0" borderId="34" xfId="0" applyNumberFormat="1" applyBorder="1" applyAlignment="1">
      <alignment horizontal="center" vertical="center"/>
    </xf>
    <xf numFmtId="49" fontId="0" fillId="2" borderId="43" xfId="0" applyNumberFormat="1" applyFill="1" applyBorder="1" applyAlignment="1">
      <alignment horizontal="center" vertical="center"/>
    </xf>
    <xf numFmtId="0" fontId="0" fillId="0" borderId="12" xfId="0" applyBorder="1"/>
    <xf numFmtId="0" fontId="0" fillId="0" borderId="8" xfId="0" applyBorder="1"/>
    <xf numFmtId="0" fontId="0" fillId="9" borderId="20" xfId="0" applyFill="1" applyBorder="1" applyAlignment="1">
      <alignment horizontal="left" vertical="center"/>
    </xf>
    <xf numFmtId="0" fontId="0" fillId="9" borderId="23" xfId="0" applyFill="1" applyBorder="1" applyAlignment="1">
      <alignment horizontal="left" vertical="center"/>
    </xf>
    <xf numFmtId="0" fontId="0" fillId="6" borderId="29" xfId="0" applyFill="1" applyBorder="1" applyAlignment="1">
      <alignment horizontal="left" vertical="center"/>
    </xf>
    <xf numFmtId="0" fontId="0" fillId="6" borderId="41" xfId="0" applyFill="1" applyBorder="1" applyAlignment="1">
      <alignment horizontal="left" vertical="center"/>
    </xf>
    <xf numFmtId="0" fontId="0" fillId="6" borderId="63" xfId="0" applyFill="1" applyBorder="1" applyAlignment="1">
      <alignment horizontal="left" vertical="center"/>
    </xf>
    <xf numFmtId="0" fontId="0" fillId="6" borderId="64" xfId="0" applyFill="1" applyBorder="1" applyAlignment="1">
      <alignment horizontal="left" vertical="center"/>
    </xf>
    <xf numFmtId="49" fontId="0" fillId="14" borderId="21" xfId="0" applyNumberFormat="1" applyFill="1" applyBorder="1" applyAlignment="1">
      <alignment horizontal="left" vertical="center"/>
    </xf>
    <xf numFmtId="49" fontId="0" fillId="14" borderId="15" xfId="0" applyNumberFormat="1" applyFill="1" applyBorder="1" applyAlignment="1">
      <alignment horizontal="left" vertical="center"/>
    </xf>
    <xf numFmtId="49" fontId="0" fillId="14" borderId="20" xfId="0" applyNumberFormat="1" applyFill="1" applyBorder="1" applyAlignment="1">
      <alignment horizontal="left" vertical="center"/>
    </xf>
    <xf numFmtId="49" fontId="0" fillId="14" borderId="23" xfId="0" applyNumberFormat="1" applyFill="1" applyBorder="1" applyAlignment="1">
      <alignment horizontal="left" vertical="center"/>
    </xf>
    <xf numFmtId="0" fontId="0" fillId="0" borderId="0" xfId="0" applyAlignment="1">
      <alignment horizontal="left" vertical="center"/>
    </xf>
    <xf numFmtId="0" fontId="0" fillId="0" borderId="0" xfId="0"/>
    <xf numFmtId="49" fontId="0" fillId="14" borderId="20" xfId="0" applyNumberFormat="1" applyFill="1" applyBorder="1" applyAlignment="1">
      <alignment vertical="center"/>
    </xf>
    <xf numFmtId="49" fontId="3" fillId="6" borderId="60" xfId="0" applyNumberFormat="1" applyFont="1" applyFill="1" applyBorder="1" applyAlignment="1">
      <alignment horizontal="center" vertical="center" wrapText="1"/>
    </xf>
    <xf numFmtId="1" fontId="3" fillId="6" borderId="60" xfId="0" applyNumberFormat="1" applyFont="1" applyFill="1" applyBorder="1" applyAlignment="1">
      <alignment horizontal="center" vertical="center" wrapText="1"/>
    </xf>
    <xf numFmtId="0" fontId="0" fillId="12" borderId="42" xfId="0" applyFill="1" applyBorder="1" applyAlignment="1">
      <alignment horizontal="center"/>
    </xf>
    <xf numFmtId="0" fontId="0" fillId="12" borderId="21" xfId="0" applyFill="1" applyBorder="1" applyAlignment="1">
      <alignment horizontal="center" vertical="center"/>
    </xf>
    <xf numFmtId="0" fontId="0" fillId="12" borderId="15" xfId="0" applyFill="1" applyBorder="1" applyAlignment="1">
      <alignment horizontal="center" vertical="center"/>
    </xf>
    <xf numFmtId="0" fontId="0" fillId="12" borderId="43" xfId="0" applyFill="1" applyBorder="1" applyAlignment="1">
      <alignment horizontal="center"/>
    </xf>
    <xf numFmtId="0" fontId="0" fillId="12" borderId="20" xfId="0" applyFill="1" applyBorder="1" applyAlignment="1">
      <alignment horizontal="center" vertical="center"/>
    </xf>
    <xf numFmtId="0" fontId="0" fillId="12" borderId="23" xfId="0" applyFill="1" applyBorder="1" applyAlignment="1">
      <alignment horizontal="center" vertical="center"/>
    </xf>
    <xf numFmtId="0" fontId="0" fillId="2" borderId="0" xfId="0" applyFill="1" applyBorder="1" applyAlignment="1">
      <alignment horizontal="center" vertical="center"/>
    </xf>
    <xf numFmtId="49" fontId="0" fillId="0" borderId="23" xfId="0" applyNumberFormat="1" applyBorder="1" applyAlignment="1">
      <alignment horizontal="center" vertical="center"/>
    </xf>
    <xf numFmtId="0" fontId="16" fillId="8" borderId="2" xfId="0" applyFont="1" applyFill="1" applyBorder="1"/>
    <xf numFmtId="0" fontId="0" fillId="0" borderId="71" xfId="0" applyFill="1" applyBorder="1" applyAlignment="1">
      <alignment horizontal="center" vertical="center"/>
    </xf>
    <xf numFmtId="2" fontId="0" fillId="0" borderId="0" xfId="0" applyNumberFormat="1" applyAlignment="1">
      <alignment horizontal="center" vertical="center"/>
    </xf>
    <xf numFmtId="0" fontId="0" fillId="0" borderId="20" xfId="0" applyBorder="1"/>
    <xf numFmtId="0" fontId="0" fillId="0" borderId="21" xfId="0" applyBorder="1"/>
    <xf numFmtId="0" fontId="0" fillId="9" borderId="20" xfId="0" applyFill="1" applyBorder="1"/>
    <xf numFmtId="0" fontId="0" fillId="6" borderId="29" xfId="0" applyFill="1" applyBorder="1"/>
    <xf numFmtId="49" fontId="0" fillId="14" borderId="21" xfId="0" applyNumberFormat="1" applyFill="1" applyBorder="1"/>
    <xf numFmtId="49" fontId="0" fillId="14" borderId="20" xfId="0" applyNumberFormat="1" applyFill="1" applyBorder="1"/>
    <xf numFmtId="0" fontId="0" fillId="6" borderId="63" xfId="0" applyFill="1" applyBorder="1"/>
    <xf numFmtId="0" fontId="0" fillId="12" borderId="21" xfId="0" applyFill="1" applyBorder="1" applyAlignment="1">
      <alignment horizontal="center"/>
    </xf>
    <xf numFmtId="0" fontId="0" fillId="12" borderId="20" xfId="0" applyFill="1" applyBorder="1" applyAlignment="1">
      <alignment horizontal="center"/>
    </xf>
    <xf numFmtId="49" fontId="0" fillId="17" borderId="14" xfId="0" applyNumberFormat="1" applyFill="1" applyBorder="1"/>
    <xf numFmtId="49" fontId="0" fillId="17" borderId="21" xfId="0" applyNumberFormat="1" applyFill="1" applyBorder="1"/>
    <xf numFmtId="49" fontId="0" fillId="17" borderId="21" xfId="0" applyNumberFormat="1" applyFill="1" applyBorder="1" applyAlignment="1">
      <alignment horizontal="left" vertical="center"/>
    </xf>
    <xf numFmtId="49" fontId="0" fillId="17" borderId="15" xfId="0" applyNumberFormat="1" applyFill="1" applyBorder="1" applyAlignment="1">
      <alignment horizontal="left" vertical="center"/>
    </xf>
    <xf numFmtId="49" fontId="0" fillId="17" borderId="22" xfId="0" applyNumberFormat="1" applyFill="1" applyBorder="1"/>
    <xf numFmtId="49" fontId="0" fillId="17" borderId="20" xfId="0" applyNumberFormat="1" applyFill="1" applyBorder="1"/>
    <xf numFmtId="49" fontId="0" fillId="17" borderId="20" xfId="0" applyNumberFormat="1" applyFill="1" applyBorder="1" applyAlignment="1">
      <alignment horizontal="left" vertical="center"/>
    </xf>
    <xf numFmtId="49" fontId="0" fillId="17" borderId="23" xfId="0" applyNumberFormat="1" applyFill="1" applyBorder="1" applyAlignment="1">
      <alignment horizontal="left" vertical="center"/>
    </xf>
    <xf numFmtId="49" fontId="0" fillId="17" borderId="25" xfId="0" applyNumberFormat="1" applyFill="1" applyBorder="1"/>
    <xf numFmtId="49" fontId="0" fillId="17" borderId="26" xfId="0" applyNumberFormat="1" applyFill="1" applyBorder="1" applyAlignment="1">
      <alignment horizontal="left" vertical="center"/>
    </xf>
    <xf numFmtId="49" fontId="0" fillId="17" borderId="43" xfId="0" applyNumberFormat="1" applyFill="1" applyBorder="1" applyAlignment="1">
      <alignment horizontal="left" vertical="center"/>
    </xf>
    <xf numFmtId="49" fontId="0" fillId="17" borderId="24" xfId="0" applyNumberFormat="1" applyFill="1" applyBorder="1"/>
    <xf numFmtId="49" fontId="0" fillId="17" borderId="24" xfId="0" applyNumberFormat="1" applyFill="1" applyBorder="1" applyAlignment="1">
      <alignment horizontal="left" vertical="center"/>
    </xf>
    <xf numFmtId="49" fontId="0" fillId="17" borderId="44" xfId="0" applyNumberFormat="1" applyFill="1" applyBorder="1" applyAlignment="1">
      <alignment horizontal="left" vertical="center"/>
    </xf>
    <xf numFmtId="49" fontId="0" fillId="17" borderId="17" xfId="0" applyNumberFormat="1" applyFill="1" applyBorder="1" applyAlignment="1">
      <alignment horizontal="left" vertical="center"/>
    </xf>
    <xf numFmtId="0" fontId="16" fillId="8" borderId="11" xfId="0" applyFont="1" applyFill="1" applyBorder="1"/>
    <xf numFmtId="0" fontId="16" fillId="8" borderId="7" xfId="0" applyFont="1" applyFill="1" applyBorder="1"/>
    <xf numFmtId="0" fontId="0" fillId="0" borderId="0" xfId="0" applyBorder="1"/>
    <xf numFmtId="0" fontId="0" fillId="0" borderId="0" xfId="0" applyAlignment="1">
      <alignment horizontal="center" vertical="center" wrapText="1"/>
    </xf>
    <xf numFmtId="0" fontId="16" fillId="8" borderId="10"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0" xfId="0" applyFont="1" applyFill="1" applyBorder="1" applyAlignment="1">
      <alignment horizontal="center" vertical="center" wrapText="1"/>
    </xf>
    <xf numFmtId="49" fontId="0" fillId="0" borderId="38" xfId="0" applyNumberFormat="1" applyBorder="1" applyAlignment="1">
      <alignment horizontal="center" vertical="center"/>
    </xf>
    <xf numFmtId="49" fontId="0" fillId="0" borderId="1" xfId="0" applyNumberFormat="1" applyBorder="1" applyAlignment="1">
      <alignment horizontal="center" vertical="center"/>
    </xf>
    <xf numFmtId="49" fontId="0" fillId="0" borderId="58" xfId="0" applyNumberFormat="1" applyBorder="1" applyAlignment="1">
      <alignment horizontal="center" vertical="center"/>
    </xf>
    <xf numFmtId="49" fontId="0" fillId="0" borderId="4" xfId="0" applyNumberFormat="1" applyBorder="1" applyAlignment="1">
      <alignment horizontal="center" vertical="center"/>
    </xf>
    <xf numFmtId="0" fontId="0" fillId="9" borderId="22" xfId="0" applyFill="1" applyBorder="1"/>
    <xf numFmtId="0" fontId="0" fillId="9" borderId="16" xfId="0" applyFill="1" applyBorder="1"/>
    <xf numFmtId="0" fontId="0" fillId="9" borderId="24" xfId="0" applyFill="1" applyBorder="1"/>
    <xf numFmtId="0" fontId="0" fillId="9" borderId="24" xfId="0" applyFill="1" applyBorder="1" applyAlignment="1">
      <alignment horizontal="left" vertical="center"/>
    </xf>
    <xf numFmtId="0" fontId="0" fillId="9" borderId="17" xfId="0" applyFill="1" applyBorder="1" applyAlignment="1">
      <alignment horizontal="left" vertical="center"/>
    </xf>
    <xf numFmtId="0" fontId="5" fillId="0" borderId="18" xfId="0" applyFont="1" applyBorder="1" applyAlignment="1">
      <alignment horizontal="center"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12" xfId="0" applyBorder="1"/>
    <xf numFmtId="0" fontId="0" fillId="0" borderId="0" xfId="0" applyBorder="1"/>
    <xf numFmtId="0" fontId="0" fillId="0" borderId="8" xfId="0" applyBorder="1"/>
    <xf numFmtId="0" fontId="0" fillId="0" borderId="21"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47" xfId="0" applyBorder="1" applyAlignment="1">
      <alignment horizontal="center"/>
    </xf>
    <xf numFmtId="0" fontId="0" fillId="0" borderId="0" xfId="0" applyBorder="1"/>
    <xf numFmtId="0" fontId="0" fillId="0" borderId="0" xfId="0" applyBorder="1" applyAlignment="1">
      <alignment horizontal="center"/>
    </xf>
    <xf numFmtId="0" fontId="0" fillId="0" borderId="54" xfId="0" applyBorder="1" applyAlignment="1">
      <alignment horizontal="center"/>
    </xf>
    <xf numFmtId="0" fontId="0" fillId="0" borderId="44" xfId="0" applyBorder="1" applyAlignment="1">
      <alignment horizontal="center"/>
    </xf>
    <xf numFmtId="0" fontId="0" fillId="0" borderId="13" xfId="0" applyBorder="1" applyAlignment="1">
      <alignment horizontal="center" vertical="top" wrapText="1"/>
    </xf>
    <xf numFmtId="0" fontId="0" fillId="17" borderId="23" xfId="0" applyNumberFormat="1" applyFill="1" applyBorder="1" applyAlignment="1">
      <alignment horizontal="left" vertical="center"/>
    </xf>
    <xf numFmtId="1" fontId="21" fillId="17" borderId="60" xfId="0" applyNumberFormat="1" applyFont="1" applyFill="1" applyBorder="1" applyAlignment="1">
      <alignment horizontal="center" vertical="center" wrapText="1"/>
    </xf>
    <xf numFmtId="0" fontId="16" fillId="2" borderId="0" xfId="0" applyFont="1" applyFill="1" applyBorder="1" applyAlignment="1"/>
    <xf numFmtId="0" fontId="0" fillId="0" borderId="25" xfId="0" applyBorder="1"/>
    <xf numFmtId="0" fontId="0" fillId="0" borderId="27" xfId="0" applyBorder="1"/>
    <xf numFmtId="0" fontId="0" fillId="0" borderId="28" xfId="0" applyBorder="1"/>
    <xf numFmtId="0" fontId="0" fillId="0" borderId="41" xfId="0" applyBorder="1"/>
    <xf numFmtId="0" fontId="0" fillId="6" borderId="33" xfId="0" applyFill="1" applyBorder="1" applyAlignment="1">
      <alignment horizontal="left" vertical="center"/>
    </xf>
    <xf numFmtId="0" fontId="0" fillId="6" borderId="15" xfId="0" applyFill="1" applyBorder="1" applyAlignment="1">
      <alignment horizontal="left" vertical="center"/>
    </xf>
    <xf numFmtId="0" fontId="0" fillId="6" borderId="59" xfId="0" applyFill="1" applyBorder="1" applyAlignment="1">
      <alignment horizontal="left" vertical="center"/>
    </xf>
    <xf numFmtId="0" fontId="0" fillId="6" borderId="19" xfId="0" applyFill="1" applyBorder="1" applyAlignment="1">
      <alignment horizontal="left" vertical="center"/>
    </xf>
    <xf numFmtId="0" fontId="0" fillId="6" borderId="21" xfId="0" applyFill="1" applyBorder="1"/>
    <xf numFmtId="0" fontId="0" fillId="6" borderId="21" xfId="0" applyFill="1" applyBorder="1" applyAlignment="1">
      <alignment horizontal="left" vertical="center"/>
    </xf>
    <xf numFmtId="0" fontId="0" fillId="9" borderId="28" xfId="0" applyFill="1" applyBorder="1"/>
    <xf numFmtId="0" fontId="0" fillId="9" borderId="29" xfId="0" applyFill="1" applyBorder="1"/>
    <xf numFmtId="0" fontId="0" fillId="9" borderId="29" xfId="0" applyFill="1" applyBorder="1" applyAlignment="1">
      <alignment horizontal="left" vertical="center"/>
    </xf>
    <xf numFmtId="0" fontId="0" fillId="9" borderId="41" xfId="0" applyFill="1" applyBorder="1" applyAlignment="1">
      <alignment horizontal="left" vertical="center"/>
    </xf>
    <xf numFmtId="0" fontId="0" fillId="12" borderId="44" xfId="0" applyFill="1" applyBorder="1" applyAlignment="1">
      <alignment horizontal="center"/>
    </xf>
    <xf numFmtId="0" fontId="0" fillId="12" borderId="24" xfId="0" applyFill="1" applyBorder="1" applyAlignment="1">
      <alignment horizontal="center"/>
    </xf>
    <xf numFmtId="0" fontId="0" fillId="12" borderId="24" xfId="0" applyFill="1" applyBorder="1" applyAlignment="1">
      <alignment horizontal="center" vertical="center"/>
    </xf>
    <xf numFmtId="0" fontId="0" fillId="12" borderId="17" xfId="0" applyFill="1" applyBorder="1" applyAlignment="1">
      <alignment horizontal="center" vertical="center"/>
    </xf>
    <xf numFmtId="49" fontId="0" fillId="17" borderId="33" xfId="0" applyNumberFormat="1" applyFill="1" applyBorder="1" applyAlignment="1">
      <alignment horizontal="left" vertical="center"/>
    </xf>
    <xf numFmtId="0" fontId="0" fillId="17" borderId="15" xfId="0" applyNumberFormat="1" applyFill="1" applyBorder="1" applyAlignment="1">
      <alignment horizontal="left" vertical="center"/>
    </xf>
    <xf numFmtId="49" fontId="0" fillId="17" borderId="34" xfId="0" applyNumberFormat="1" applyFill="1" applyBorder="1" applyAlignment="1">
      <alignment horizontal="left" vertical="center"/>
    </xf>
    <xf numFmtId="49" fontId="0" fillId="17" borderId="35" xfId="0" applyNumberFormat="1" applyFill="1" applyBorder="1" applyAlignment="1">
      <alignment horizontal="left" vertical="center"/>
    </xf>
    <xf numFmtId="0" fontId="9" fillId="7" borderId="14" xfId="0" applyFont="1" applyFill="1" applyBorder="1" applyAlignment="1">
      <alignment horizontal="center" vertical="center"/>
    </xf>
    <xf numFmtId="0" fontId="0" fillId="19" borderId="21" xfId="0" applyFill="1" applyBorder="1" applyAlignment="1">
      <alignment horizontal="center" vertical="center"/>
    </xf>
    <xf numFmtId="0" fontId="0" fillId="10" borderId="15" xfId="0" applyFill="1" applyBorder="1" applyAlignment="1">
      <alignment horizontal="center" vertical="center"/>
    </xf>
    <xf numFmtId="0" fontId="0" fillId="0" borderId="26"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0" fillId="0" borderId="24"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44" xfId="0" applyBorder="1" applyAlignment="1">
      <alignment horizontal="center"/>
    </xf>
    <xf numFmtId="0" fontId="0" fillId="0" borderId="20" xfId="0" applyBorder="1" applyAlignment="1">
      <alignment horizontal="center" vertical="center"/>
    </xf>
    <xf numFmtId="0" fontId="0" fillId="0" borderId="24" xfId="0" applyBorder="1" applyAlignment="1">
      <alignment horizontal="center" vertical="center"/>
    </xf>
    <xf numFmtId="0" fontId="0" fillId="2" borderId="0" xfId="0" applyFill="1" applyBorder="1" applyAlignment="1">
      <alignment horizontal="center" vertical="top" wrapText="1"/>
    </xf>
    <xf numFmtId="0" fontId="0" fillId="0" borderId="6" xfId="0" applyBorder="1" applyAlignment="1">
      <alignment vertical="top" wrapText="1"/>
    </xf>
    <xf numFmtId="0" fontId="0" fillId="0" borderId="18" xfId="0" applyBorder="1" applyAlignment="1">
      <alignment horizontal="center" vertical="top" wrapText="1"/>
    </xf>
    <xf numFmtId="0" fontId="0" fillId="0" borderId="0" xfId="0" applyAlignment="1">
      <alignment horizontal="right" vertical="center"/>
    </xf>
    <xf numFmtId="0" fontId="0" fillId="0" borderId="0" xfId="0" applyBorder="1" applyAlignment="1">
      <alignment horizontal="right"/>
    </xf>
    <xf numFmtId="0" fontId="0" fillId="0" borderId="0" xfId="0" applyAlignment="1">
      <alignment horizontal="right"/>
    </xf>
    <xf numFmtId="0" fontId="0" fillId="2" borderId="0" xfId="0" applyFill="1" applyBorder="1" applyAlignment="1">
      <alignment horizontal="right"/>
    </xf>
    <xf numFmtId="0" fontId="0" fillId="2" borderId="23" xfId="0" applyFill="1" applyBorder="1" applyAlignment="1">
      <alignment horizontal="right"/>
    </xf>
    <xf numFmtId="0" fontId="0" fillId="0" borderId="0" xfId="0" applyFill="1" applyBorder="1"/>
    <xf numFmtId="1" fontId="3" fillId="0" borderId="30" xfId="0" applyNumberFormat="1" applyFont="1" applyBorder="1" applyAlignment="1">
      <alignment horizontal="left" textRotation="90"/>
    </xf>
    <xf numFmtId="49" fontId="3" fillId="2" borderId="0" xfId="0" applyNumberFormat="1" applyFont="1" applyFill="1" applyBorder="1" applyAlignment="1">
      <alignment horizontal="left"/>
    </xf>
    <xf numFmtId="1" fontId="3" fillId="0" borderId="31" xfId="0" applyNumberFormat="1" applyFont="1" applyBorder="1" applyAlignment="1">
      <alignment horizontal="left"/>
    </xf>
    <xf numFmtId="0" fontId="3" fillId="0" borderId="31" xfId="0" applyFont="1" applyFill="1" applyBorder="1" applyAlignment="1">
      <alignment horizontal="left"/>
    </xf>
    <xf numFmtId="0" fontId="3" fillId="0" borderId="32" xfId="0" applyFont="1" applyBorder="1" applyAlignment="1">
      <alignment horizontal="left"/>
    </xf>
    <xf numFmtId="0" fontId="0" fillId="0" borderId="0" xfId="0" applyBorder="1" applyAlignment="1">
      <alignment horizontal="center" vertical="center"/>
    </xf>
    <xf numFmtId="0" fontId="0" fillId="0" borderId="0" xfId="0" applyBorder="1" applyAlignment="1">
      <alignment horizontal="center" vertical="center" wrapText="1"/>
    </xf>
    <xf numFmtId="0" fontId="0" fillId="2" borderId="23" xfId="0" applyFill="1" applyBorder="1" applyAlignment="1">
      <alignment horizontal="center" vertical="center"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right"/>
    </xf>
    <xf numFmtId="0" fontId="0" fillId="0" borderId="0" xfId="0" applyAlignment="1">
      <alignment horizontal="center"/>
    </xf>
    <xf numFmtId="0" fontId="0" fillId="0" borderId="10" xfId="0" applyBorder="1" applyAlignment="1">
      <alignment vertical="top" wrapText="1"/>
    </xf>
    <xf numFmtId="49" fontId="0" fillId="0" borderId="3" xfId="0" applyNumberFormat="1" applyBorder="1" applyAlignment="1">
      <alignment horizontal="center" vertical="center"/>
    </xf>
    <xf numFmtId="49" fontId="0" fillId="0" borderId="37" xfId="0" applyNumberFormat="1" applyBorder="1" applyAlignment="1">
      <alignment horizontal="center" vertical="center"/>
    </xf>
    <xf numFmtId="49" fontId="0" fillId="0" borderId="60" xfId="0" applyNumberFormat="1" applyBorder="1" applyAlignment="1">
      <alignment horizontal="center" vertical="center"/>
    </xf>
    <xf numFmtId="49" fontId="0" fillId="0" borderId="55" xfId="0" applyNumberFormat="1" applyBorder="1" applyAlignment="1">
      <alignment horizontal="center" vertical="center"/>
    </xf>
    <xf numFmtId="49" fontId="0" fillId="0" borderId="74" xfId="0" applyNumberFormat="1" applyBorder="1" applyAlignment="1">
      <alignment horizontal="center" vertical="center"/>
    </xf>
    <xf numFmtId="49" fontId="0" fillId="10" borderId="59" xfId="0" applyNumberFormat="1" applyFill="1" applyBorder="1" applyAlignment="1">
      <alignment horizontal="center" vertical="center"/>
    </xf>
    <xf numFmtId="49" fontId="0" fillId="10" borderId="49" xfId="0" applyNumberFormat="1" applyFill="1" applyBorder="1" applyAlignment="1">
      <alignment horizontal="center" vertical="center"/>
    </xf>
    <xf numFmtId="0" fontId="0" fillId="10" borderId="49" xfId="0" applyNumberFormat="1" applyFill="1" applyBorder="1" applyAlignment="1">
      <alignment horizontal="center" vertical="center"/>
    </xf>
    <xf numFmtId="0" fontId="0" fillId="10" borderId="59" xfId="0" applyNumberFormat="1" applyFill="1" applyBorder="1" applyAlignment="1">
      <alignment horizontal="center" vertical="center"/>
    </xf>
    <xf numFmtId="49" fontId="0" fillId="10" borderId="53" xfId="0" applyNumberFormat="1" applyFill="1" applyBorder="1" applyAlignment="1">
      <alignment horizontal="center" vertical="center"/>
    </xf>
    <xf numFmtId="49" fontId="0" fillId="10" borderId="73" xfId="0" applyNumberFormat="1" applyFill="1" applyBorder="1" applyAlignment="1">
      <alignment horizontal="center" vertical="center"/>
    </xf>
    <xf numFmtId="49" fontId="3" fillId="2" borderId="43" xfId="0" applyNumberFormat="1" applyFont="1" applyFill="1" applyBorder="1" applyAlignment="1">
      <alignment horizontal="center" vertical="center"/>
    </xf>
    <xf numFmtId="49" fontId="3" fillId="2" borderId="34" xfId="0" applyNumberFormat="1" applyFont="1" applyFill="1" applyBorder="1" applyAlignment="1">
      <alignment horizontal="center" vertical="center"/>
    </xf>
    <xf numFmtId="49" fontId="7" fillId="2" borderId="34" xfId="0" applyNumberFormat="1" applyFont="1" applyFill="1" applyBorder="1" applyAlignment="1">
      <alignment horizontal="center" vertical="center"/>
    </xf>
    <xf numFmtId="0" fontId="0" fillId="2" borderId="34" xfId="0" applyNumberFormat="1" applyFill="1" applyBorder="1" applyAlignment="1">
      <alignment horizontal="center" vertical="center"/>
    </xf>
    <xf numFmtId="49" fontId="3" fillId="0" borderId="34" xfId="0" applyNumberFormat="1" applyFont="1" applyBorder="1" applyAlignment="1">
      <alignment horizontal="center" vertical="center"/>
    </xf>
    <xf numFmtId="49" fontId="0" fillId="0" borderId="34" xfId="0" applyNumberFormat="1" applyFill="1" applyBorder="1" applyAlignment="1">
      <alignment horizontal="center" vertical="center"/>
    </xf>
    <xf numFmtId="49" fontId="0" fillId="0" borderId="59" xfId="0" applyNumberFormat="1" applyBorder="1" applyAlignment="1">
      <alignment horizontal="center" vertical="center"/>
    </xf>
    <xf numFmtId="49" fontId="0" fillId="0" borderId="52" xfId="0" applyNumberFormat="1" applyBorder="1" applyAlignment="1">
      <alignment horizontal="center" vertical="center"/>
    </xf>
    <xf numFmtId="0" fontId="0" fillId="0" borderId="10" xfId="0" applyBorder="1" applyAlignment="1">
      <alignment horizontal="center" vertical="center"/>
    </xf>
    <xf numFmtId="49" fontId="0" fillId="2" borderId="59" xfId="0" applyNumberFormat="1" applyFill="1" applyBorder="1" applyAlignment="1">
      <alignment horizontal="center" vertical="center"/>
    </xf>
    <xf numFmtId="0" fontId="5" fillId="0" borderId="11" xfId="0" applyFont="1" applyBorder="1" applyAlignment="1">
      <alignment horizontal="center" vertical="center" wrapText="1"/>
    </xf>
    <xf numFmtId="0" fontId="0" fillId="0" borderId="18" xfId="0" applyBorder="1" applyAlignment="1">
      <alignment horizontal="center" vertical="center" wrapText="1"/>
    </xf>
    <xf numFmtId="49" fontId="0" fillId="0" borderId="65" xfId="0" applyNumberFormat="1" applyBorder="1" applyAlignment="1">
      <alignment horizontal="center" vertical="center"/>
    </xf>
    <xf numFmtId="49" fontId="0" fillId="0" borderId="39" xfId="0" applyNumberFormat="1" applyBorder="1" applyAlignment="1">
      <alignment horizontal="center" vertical="center"/>
    </xf>
    <xf numFmtId="49" fontId="7" fillId="2" borderId="65" xfId="0" applyNumberFormat="1" applyFont="1" applyFill="1" applyBorder="1" applyAlignment="1">
      <alignment horizontal="center" vertical="center"/>
    </xf>
    <xf numFmtId="0" fontId="0" fillId="0" borderId="21" xfId="0" applyBorder="1" applyAlignment="1">
      <alignment horizontal="center"/>
    </xf>
    <xf numFmtId="0" fontId="0" fillId="0" borderId="20" xfId="0" applyBorder="1" applyAlignment="1">
      <alignment horizontal="center"/>
    </xf>
    <xf numFmtId="0" fontId="0" fillId="0" borderId="24" xfId="0" applyBorder="1" applyAlignment="1">
      <alignment horizont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20" xfId="0" applyBorder="1" applyAlignment="1">
      <alignment horizontal="left"/>
    </xf>
    <xf numFmtId="0" fontId="0" fillId="0" borderId="23" xfId="0" applyBorder="1" applyAlignment="1">
      <alignment horizontal="left"/>
    </xf>
    <xf numFmtId="0" fontId="0" fillId="0" borderId="46" xfId="0" applyBorder="1"/>
    <xf numFmtId="0" fontId="0" fillId="0" borderId="47" xfId="0" applyBorder="1"/>
    <xf numFmtId="1" fontId="3" fillId="0" borderId="18" xfId="0" applyNumberFormat="1" applyFont="1" applyBorder="1" applyAlignment="1">
      <alignment horizontal="left"/>
    </xf>
    <xf numFmtId="0" fontId="0" fillId="2" borderId="0" xfId="0" applyFill="1" applyBorder="1" applyAlignment="1">
      <alignment horizontal="left" vertical="center"/>
    </xf>
    <xf numFmtId="0" fontId="24" fillId="20" borderId="1" xfId="0" applyFont="1" applyFill="1" applyBorder="1" applyAlignment="1">
      <alignment horizontal="center" vertical="center" textRotation="90"/>
    </xf>
    <xf numFmtId="0" fontId="16" fillId="8" borderId="3" xfId="0" applyFont="1" applyFill="1" applyBorder="1" applyAlignment="1"/>
    <xf numFmtId="49" fontId="0" fillId="14" borderId="25" xfId="0" applyNumberFormat="1" applyFill="1" applyBorder="1"/>
    <xf numFmtId="49" fontId="0" fillId="14" borderId="26" xfId="0" applyNumberFormat="1" applyFill="1" applyBorder="1"/>
    <xf numFmtId="49" fontId="0" fillId="14" borderId="26" xfId="0" applyNumberFormat="1" applyFill="1" applyBorder="1" applyAlignment="1">
      <alignment horizontal="left" vertical="center"/>
    </xf>
    <xf numFmtId="49" fontId="0" fillId="14" borderId="27" xfId="0" applyNumberFormat="1" applyFill="1" applyBorder="1" applyAlignment="1">
      <alignment horizontal="left" vertical="center"/>
    </xf>
    <xf numFmtId="0" fontId="0" fillId="0" borderId="20" xfId="0" applyBorder="1" applyAlignment="1">
      <alignment horizontal="left" vertical="center"/>
    </xf>
    <xf numFmtId="0" fontId="0" fillId="2" borderId="23" xfId="0" applyFill="1" applyBorder="1" applyAlignment="1">
      <alignment horizontal="center" vertical="center"/>
    </xf>
    <xf numFmtId="0" fontId="0" fillId="0" borderId="36" xfId="0" applyBorder="1"/>
    <xf numFmtId="0" fontId="0" fillId="0" borderId="40" xfId="0" applyBorder="1"/>
    <xf numFmtId="0" fontId="0" fillId="0" borderId="40" xfId="0" applyBorder="1" applyAlignment="1">
      <alignment horizontal="left" vertical="center"/>
    </xf>
    <xf numFmtId="0" fontId="0" fillId="0" borderId="66" xfId="0" applyBorder="1" applyAlignment="1">
      <alignment horizontal="left" vertical="center"/>
    </xf>
    <xf numFmtId="0" fontId="0" fillId="2" borderId="20" xfId="0" applyFill="1" applyBorder="1"/>
    <xf numFmtId="0" fontId="0" fillId="2" borderId="20" xfId="0" applyFill="1" applyBorder="1" applyAlignment="1">
      <alignment horizontal="left" vertical="center"/>
    </xf>
    <xf numFmtId="0" fontId="0" fillId="2" borderId="14" xfId="0" applyFill="1" applyBorder="1"/>
    <xf numFmtId="0" fontId="0" fillId="2" borderId="21" xfId="0" applyFill="1" applyBorder="1"/>
    <xf numFmtId="0" fontId="0" fillId="2" borderId="21" xfId="0" applyFill="1" applyBorder="1" applyAlignment="1">
      <alignment horizontal="left" vertical="center"/>
    </xf>
    <xf numFmtId="0" fontId="0" fillId="2" borderId="15" xfId="0" applyFill="1" applyBorder="1" applyAlignment="1">
      <alignment horizontal="left" vertical="center"/>
    </xf>
    <xf numFmtId="0" fontId="0" fillId="2" borderId="22" xfId="0" applyFill="1" applyBorder="1"/>
    <xf numFmtId="0" fontId="0" fillId="2" borderId="16" xfId="0" applyFill="1" applyBorder="1"/>
    <xf numFmtId="0" fontId="0" fillId="2" borderId="24" xfId="0" applyFill="1" applyBorder="1"/>
    <xf numFmtId="0" fontId="0" fillId="2" borderId="24" xfId="0" applyFill="1" applyBorder="1" applyAlignment="1">
      <alignment horizontal="left" vertical="center"/>
    </xf>
    <xf numFmtId="0" fontId="0" fillId="6" borderId="71" xfId="0" applyFill="1" applyBorder="1"/>
    <xf numFmtId="49" fontId="0" fillId="17" borderId="71" xfId="0" applyNumberFormat="1" applyFill="1" applyBorder="1"/>
    <xf numFmtId="49" fontId="0" fillId="15" borderId="51" xfId="0" applyNumberFormat="1" applyFill="1" applyBorder="1" applyAlignment="1">
      <alignment horizontal="center" vertical="center"/>
    </xf>
    <xf numFmtId="49" fontId="0" fillId="0" borderId="22" xfId="0" applyNumberFormat="1" applyBorder="1" applyAlignment="1">
      <alignment horizontal="center" vertical="center"/>
    </xf>
    <xf numFmtId="0" fontId="0" fillId="0" borderId="22" xfId="0" applyBorder="1" applyAlignment="1">
      <alignment horizontal="left" vertical="center"/>
    </xf>
    <xf numFmtId="0" fontId="0" fillId="0" borderId="24" xfId="0" applyFill="1" applyBorder="1" applyAlignment="1">
      <alignment horizontal="center" vertical="center"/>
    </xf>
    <xf numFmtId="0" fontId="0" fillId="0" borderId="30" xfId="0" applyFill="1" applyBorder="1" applyAlignment="1">
      <alignment horizontal="center" vertical="center"/>
    </xf>
    <xf numFmtId="0" fontId="15" fillId="2" borderId="0" xfId="0" applyFont="1" applyFill="1" applyBorder="1" applyAlignment="1">
      <alignment vertical="center" textRotation="90"/>
    </xf>
    <xf numFmtId="0" fontId="0" fillId="0" borderId="72" xfId="0" applyFill="1" applyBorder="1"/>
    <xf numFmtId="0" fontId="0" fillId="2" borderId="29" xfId="0" applyFill="1" applyBorder="1"/>
    <xf numFmtId="0" fontId="0" fillId="2" borderId="29" xfId="0" applyFill="1" applyBorder="1" applyAlignment="1">
      <alignment horizontal="left" vertical="center"/>
    </xf>
    <xf numFmtId="0" fontId="0" fillId="0" borderId="0" xfId="0" applyAlignment="1">
      <alignment textRotation="90"/>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0" fillId="0" borderId="15" xfId="0" applyBorder="1" applyAlignment="1">
      <alignment horizontal="right"/>
    </xf>
    <xf numFmtId="0" fontId="0" fillId="0" borderId="23" xfId="0" applyBorder="1" applyAlignment="1">
      <alignment horizontal="right"/>
    </xf>
    <xf numFmtId="0" fontId="0" fillId="0" borderId="17" xfId="0" applyBorder="1" applyAlignment="1">
      <alignment horizontal="right"/>
    </xf>
    <xf numFmtId="0" fontId="0" fillId="0" borderId="65" xfId="0" applyBorder="1"/>
    <xf numFmtId="0" fontId="0" fillId="0" borderId="37" xfId="0" applyBorder="1"/>
    <xf numFmtId="0" fontId="0" fillId="0" borderId="39" xfId="0" applyBorder="1"/>
    <xf numFmtId="0" fontId="0" fillId="0" borderId="68" xfId="0" applyBorder="1"/>
    <xf numFmtId="0" fontId="0" fillId="0" borderId="76" xfId="0" applyBorder="1"/>
    <xf numFmtId="0" fontId="0" fillId="0" borderId="77" xfId="0" applyBorder="1"/>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2" borderId="0" xfId="0" applyFill="1" applyBorder="1" applyAlignment="1">
      <alignment horizontal="center"/>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66" xfId="0" applyBorder="1" applyAlignment="1">
      <alignment horizontal="center" vertical="center"/>
    </xf>
    <xf numFmtId="49" fontId="0" fillId="2" borderId="0" xfId="0" applyNumberFormat="1" applyFill="1"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left"/>
    </xf>
    <xf numFmtId="0" fontId="0" fillId="0" borderId="11" xfId="0" applyBorder="1" applyProtection="1"/>
    <xf numFmtId="0" fontId="0" fillId="0" borderId="12" xfId="0" applyBorder="1" applyProtection="1"/>
    <xf numFmtId="0" fontId="0" fillId="0" borderId="13" xfId="0" applyBorder="1" applyProtection="1"/>
    <xf numFmtId="0" fontId="0" fillId="0" borderId="0" xfId="0" applyProtection="1"/>
    <xf numFmtId="0" fontId="0" fillId="0" borderId="2" xfId="0" applyBorder="1" applyProtection="1"/>
    <xf numFmtId="0" fontId="0" fillId="0" borderId="0" xfId="0" applyBorder="1" applyProtection="1"/>
    <xf numFmtId="0" fontId="0" fillId="0" borderId="6" xfId="0" applyBorder="1" applyProtection="1"/>
    <xf numFmtId="0" fontId="0" fillId="0" borderId="0" xfId="0" applyAlignment="1" applyProtection="1">
      <alignment horizontal="left"/>
    </xf>
    <xf numFmtId="0" fontId="0" fillId="2" borderId="0" xfId="0" applyFill="1" applyBorder="1" applyProtection="1"/>
    <xf numFmtId="0" fontId="5" fillId="2" borderId="0" xfId="0" applyFont="1" applyFill="1" applyBorder="1" applyAlignment="1" applyProtection="1">
      <alignment horizontal="center"/>
    </xf>
    <xf numFmtId="0" fontId="0" fillId="0" borderId="0" xfId="0" applyBorder="1" applyAlignment="1" applyProtection="1">
      <alignment horizontal="center"/>
    </xf>
    <xf numFmtId="0" fontId="5" fillId="0" borderId="0" xfId="0" applyFont="1" applyBorder="1" applyProtection="1"/>
    <xf numFmtId="0" fontId="0" fillId="0" borderId="0" xfId="0" applyBorder="1" applyAlignment="1" applyProtection="1"/>
    <xf numFmtId="0" fontId="0" fillId="0" borderId="2" xfId="0" applyBorder="1" applyAlignment="1" applyProtection="1"/>
    <xf numFmtId="1" fontId="17" fillId="0" borderId="0" xfId="0" applyNumberFormat="1" applyFont="1" applyBorder="1" applyAlignment="1" applyProtection="1">
      <alignment horizontal="center"/>
    </xf>
    <xf numFmtId="0" fontId="0" fillId="0" borderId="0" xfId="0" applyBorder="1" applyAlignment="1" applyProtection="1">
      <alignment horizontal="center"/>
    </xf>
    <xf numFmtId="0" fontId="12" fillId="0" borderId="14" xfId="0" applyFont="1" applyBorder="1" applyAlignment="1" applyProtection="1">
      <alignment horizontal="center"/>
    </xf>
    <xf numFmtId="0" fontId="12" fillId="0" borderId="21" xfId="0" applyFont="1" applyBorder="1" applyAlignment="1" applyProtection="1">
      <alignment horizontal="center"/>
    </xf>
    <xf numFmtId="0" fontId="12" fillId="0" borderId="22" xfId="0" applyFont="1" applyBorder="1" applyAlignment="1" applyProtection="1">
      <alignment horizontal="center"/>
    </xf>
    <xf numFmtId="0" fontId="12" fillId="0" borderId="20" xfId="0" applyFont="1" applyBorder="1" applyAlignment="1" applyProtection="1">
      <alignment horizontal="center"/>
    </xf>
    <xf numFmtId="0" fontId="12" fillId="0" borderId="25" xfId="0" applyFont="1" applyBorder="1" applyAlignment="1" applyProtection="1">
      <alignment horizontal="center"/>
    </xf>
    <xf numFmtId="0" fontId="12" fillId="0" borderId="26" xfId="0" applyFont="1" applyBorder="1" applyAlignment="1" applyProtection="1">
      <alignment horizontal="center"/>
    </xf>
    <xf numFmtId="0" fontId="0" fillId="0" borderId="0" xfId="0" applyBorder="1" applyAlignment="1" applyProtection="1">
      <alignment vertical="top" wrapText="1"/>
    </xf>
    <xf numFmtId="0" fontId="12" fillId="0" borderId="16" xfId="0" applyFont="1" applyBorder="1" applyAlignment="1" applyProtection="1">
      <alignment horizontal="center"/>
    </xf>
    <xf numFmtId="0" fontId="12" fillId="0" borderId="24" xfId="0" applyFont="1" applyBorder="1" applyAlignment="1" applyProtection="1">
      <alignment horizontal="center"/>
    </xf>
    <xf numFmtId="0" fontId="0" fillId="0" borderId="7" xfId="0" applyBorder="1" applyProtection="1"/>
    <xf numFmtId="0" fontId="0" fillId="0" borderId="8" xfId="0" applyBorder="1" applyProtection="1"/>
    <xf numFmtId="49" fontId="0" fillId="0" borderId="35" xfId="0" applyNumberForma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54" xfId="0" applyBorder="1" applyAlignment="1">
      <alignment horizontal="left" vertical="top" wrapText="1"/>
    </xf>
    <xf numFmtId="0" fontId="0" fillId="0" borderId="52"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0" xfId="0" applyBorder="1" applyAlignment="1">
      <alignment horizontal="left" vertical="top" wrapText="1"/>
    </xf>
    <xf numFmtId="0" fontId="0" fillId="0" borderId="57" xfId="0" applyBorder="1" applyAlignment="1">
      <alignment horizontal="left" vertical="top" wrapText="1"/>
    </xf>
    <xf numFmtId="0" fontId="0" fillId="0" borderId="48" xfId="0" applyBorder="1" applyAlignment="1">
      <alignment horizontal="left" vertical="top" wrapText="1"/>
    </xf>
    <xf numFmtId="0" fontId="0" fillId="0" borderId="53" xfId="0" applyBorder="1" applyAlignment="1">
      <alignment horizontal="left" vertical="top" wrapText="1"/>
    </xf>
    <xf numFmtId="0" fontId="0" fillId="0" borderId="49" xfId="0" applyBorder="1" applyAlignment="1">
      <alignment horizontal="left" vertical="top" wrapText="1"/>
    </xf>
    <xf numFmtId="0" fontId="0" fillId="0" borderId="29" xfId="0" applyBorder="1" applyAlignment="1" applyProtection="1">
      <alignment horizontal="center" vertical="top" wrapText="1"/>
    </xf>
    <xf numFmtId="0" fontId="0" fillId="0" borderId="41" xfId="0" applyBorder="1" applyAlignment="1" applyProtection="1">
      <alignment horizontal="center" vertical="top" wrapText="1"/>
    </xf>
    <xf numFmtId="0" fontId="0" fillId="0" borderId="16" xfId="0" applyBorder="1" applyAlignment="1" applyProtection="1">
      <alignment horizontal="center" vertical="top" wrapText="1"/>
    </xf>
    <xf numFmtId="0" fontId="0" fillId="0" borderId="24" xfId="0" applyBorder="1" applyAlignment="1" applyProtection="1">
      <alignment horizontal="center" vertical="top" wrapText="1"/>
    </xf>
    <xf numFmtId="0" fontId="0" fillId="0" borderId="17" xfId="0" applyBorder="1" applyAlignment="1" applyProtection="1">
      <alignment horizontal="center" vertical="top" wrapText="1"/>
    </xf>
    <xf numFmtId="1" fontId="20" fillId="0" borderId="75" xfId="0" applyNumberFormat="1" applyFont="1" applyBorder="1" applyAlignment="1" applyProtection="1">
      <alignment horizontal="center" vertical="top" wrapText="1"/>
    </xf>
    <xf numFmtId="1" fontId="20" fillId="0" borderId="63" xfId="0" applyNumberFormat="1" applyFont="1" applyBorder="1" applyAlignment="1" applyProtection="1">
      <alignment horizontal="center" vertical="top" wrapText="1"/>
    </xf>
    <xf numFmtId="0" fontId="0" fillId="0" borderId="63" xfId="0" applyBorder="1" applyAlignment="1" applyProtection="1">
      <alignment horizontal="center" vertical="top" wrapText="1"/>
    </xf>
    <xf numFmtId="0" fontId="0" fillId="0" borderId="64" xfId="0" applyBorder="1" applyAlignment="1" applyProtection="1">
      <alignment horizontal="center" vertical="top" wrapText="1"/>
    </xf>
    <xf numFmtId="0" fontId="5" fillId="11" borderId="62" xfId="0" applyFont="1" applyFill="1" applyBorder="1" applyAlignment="1" applyProtection="1">
      <alignment horizontal="center"/>
    </xf>
    <xf numFmtId="0" fontId="5" fillId="11" borderId="63" xfId="0" applyFont="1" applyFill="1" applyBorder="1" applyAlignment="1" applyProtection="1">
      <alignment horizontal="center"/>
    </xf>
    <xf numFmtId="0" fontId="5" fillId="11" borderId="67" xfId="0" applyFont="1" applyFill="1" applyBorder="1" applyAlignment="1" applyProtection="1">
      <alignment horizontal="center"/>
    </xf>
    <xf numFmtId="0" fontId="0" fillId="0" borderId="62" xfId="0" applyBorder="1" applyAlignment="1" applyProtection="1">
      <alignment horizontal="center"/>
    </xf>
    <xf numFmtId="0" fontId="0" fillId="0" borderId="63" xfId="0" applyBorder="1" applyAlignment="1" applyProtection="1">
      <alignment horizontal="center"/>
    </xf>
    <xf numFmtId="0" fontId="0" fillId="0" borderId="64" xfId="0" applyBorder="1" applyAlignment="1" applyProtection="1">
      <alignment horizontal="center"/>
    </xf>
    <xf numFmtId="1" fontId="7" fillId="0" borderId="31" xfId="0" applyNumberFormat="1" applyFont="1" applyBorder="1" applyAlignment="1" applyProtection="1">
      <alignment horizontal="center"/>
    </xf>
    <xf numFmtId="1" fontId="7" fillId="22" borderId="31" xfId="0" applyNumberFormat="1" applyFont="1" applyFill="1" applyBorder="1" applyAlignment="1" applyProtection="1">
      <alignment horizontal="center"/>
    </xf>
    <xf numFmtId="0" fontId="11" fillId="0" borderId="26" xfId="0" applyFont="1" applyBorder="1" applyAlignment="1" applyProtection="1">
      <alignment horizontal="center"/>
    </xf>
    <xf numFmtId="0" fontId="6" fillId="0" borderId="20" xfId="0" applyFont="1" applyBorder="1" applyAlignment="1" applyProtection="1">
      <alignment horizontal="center"/>
    </xf>
    <xf numFmtId="49" fontId="0" fillId="5" borderId="31" xfId="0" applyNumberFormat="1" applyFill="1" applyBorder="1" applyAlignment="1" applyProtection="1">
      <alignment horizontal="center"/>
    </xf>
    <xf numFmtId="0" fontId="0" fillId="0" borderId="40" xfId="0" applyBorder="1" applyAlignment="1" applyProtection="1">
      <alignment horizontal="center"/>
    </xf>
    <xf numFmtId="0" fontId="0" fillId="0" borderId="36" xfId="0" applyBorder="1" applyAlignment="1" applyProtection="1">
      <alignment horizontal="center"/>
    </xf>
    <xf numFmtId="0" fontId="0" fillId="0" borderId="50" xfId="0" applyBorder="1" applyAlignment="1" applyProtection="1">
      <alignment horizontal="center"/>
    </xf>
    <xf numFmtId="0" fontId="6" fillId="0" borderId="14" xfId="0" applyFont="1" applyBorder="1" applyAlignment="1" applyProtection="1">
      <alignment horizontal="center"/>
    </xf>
    <xf numFmtId="0" fontId="6" fillId="0" borderId="21" xfId="0" applyFont="1" applyBorder="1" applyAlignment="1" applyProtection="1">
      <alignment horizontal="center"/>
    </xf>
    <xf numFmtId="0" fontId="6" fillId="0" borderId="45" xfId="0" applyFont="1" applyBorder="1" applyAlignment="1" applyProtection="1">
      <alignment horizontal="center"/>
    </xf>
    <xf numFmtId="0" fontId="6" fillId="0" borderId="22" xfId="0" applyFont="1" applyBorder="1" applyAlignment="1" applyProtection="1">
      <alignment horizontal="center"/>
    </xf>
    <xf numFmtId="0" fontId="6" fillId="0" borderId="46" xfId="0" applyFont="1" applyBorder="1" applyAlignment="1" applyProtection="1">
      <alignment horizontal="center"/>
    </xf>
    <xf numFmtId="0" fontId="11" fillId="0" borderId="25" xfId="0" applyFont="1" applyBorder="1" applyAlignment="1" applyProtection="1">
      <alignment horizontal="center"/>
    </xf>
    <xf numFmtId="0" fontId="0" fillId="0" borderId="14"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16" xfId="0" applyBorder="1" applyAlignment="1" applyProtection="1">
      <alignment horizontal="center"/>
    </xf>
    <xf numFmtId="0" fontId="0" fillId="0" borderId="24" xfId="0" applyBorder="1" applyAlignment="1" applyProtection="1">
      <alignment horizontal="center"/>
    </xf>
    <xf numFmtId="0" fontId="0" fillId="0" borderId="17" xfId="0" applyBorder="1" applyAlignment="1" applyProtection="1">
      <alignment horizontal="center"/>
    </xf>
    <xf numFmtId="0" fontId="6" fillId="0" borderId="16" xfId="0" applyFont="1" applyBorder="1" applyAlignment="1" applyProtection="1">
      <alignment horizontal="center"/>
    </xf>
    <xf numFmtId="0" fontId="6" fillId="0" borderId="24" xfId="0" applyFont="1" applyBorder="1" applyAlignment="1" applyProtection="1">
      <alignment horizontal="center"/>
    </xf>
    <xf numFmtId="0" fontId="6" fillId="0" borderId="47" xfId="0" applyFont="1" applyBorder="1" applyAlignment="1" applyProtection="1">
      <alignment horizontal="center"/>
    </xf>
    <xf numFmtId="0" fontId="5" fillId="3" borderId="14" xfId="0" applyFont="1" applyFill="1" applyBorder="1" applyAlignment="1" applyProtection="1">
      <alignment horizontal="center"/>
    </xf>
    <xf numFmtId="0" fontId="5" fillId="3" borderId="21" xfId="0" applyFont="1" applyFill="1" applyBorder="1" applyAlignment="1" applyProtection="1">
      <alignment horizontal="center"/>
    </xf>
    <xf numFmtId="0" fontId="5" fillId="3" borderId="45" xfId="0" applyFont="1" applyFill="1" applyBorder="1" applyAlignment="1" applyProtection="1">
      <alignment horizontal="center"/>
    </xf>
    <xf numFmtId="0" fontId="5" fillId="5" borderId="16" xfId="0" applyFont="1" applyFill="1" applyBorder="1" applyAlignment="1" applyProtection="1">
      <alignment horizontal="center"/>
    </xf>
    <xf numFmtId="0" fontId="5" fillId="5" borderId="24" xfId="0" applyFont="1" applyFill="1" applyBorder="1" applyAlignment="1" applyProtection="1">
      <alignment horizontal="center"/>
    </xf>
    <xf numFmtId="0" fontId="5" fillId="5" borderId="47" xfId="0" applyFont="1" applyFill="1" applyBorder="1" applyAlignment="1" applyProtection="1">
      <alignment horizontal="center"/>
    </xf>
    <xf numFmtId="0" fontId="5" fillId="3" borderId="22" xfId="0" applyFont="1" applyFill="1" applyBorder="1" applyAlignment="1" applyProtection="1">
      <alignment horizontal="center"/>
    </xf>
    <xf numFmtId="0" fontId="5" fillId="3" borderId="20" xfId="0" applyFont="1" applyFill="1" applyBorder="1" applyAlignment="1" applyProtection="1">
      <alignment horizontal="center"/>
    </xf>
    <xf numFmtId="0" fontId="5" fillId="3" borderId="46" xfId="0" applyFont="1" applyFill="1" applyBorder="1" applyAlignment="1" applyProtection="1">
      <alignment horizontal="center"/>
    </xf>
    <xf numFmtId="1" fontId="7" fillId="0" borderId="58" xfId="0" applyNumberFormat="1" applyFont="1" applyBorder="1" applyAlignment="1" applyProtection="1">
      <alignment horizontal="center"/>
    </xf>
    <xf numFmtId="0" fontId="0" fillId="0" borderId="65" xfId="0" applyBorder="1" applyAlignment="1" applyProtection="1">
      <alignment horizontal="center"/>
    </xf>
    <xf numFmtId="0" fontId="0" fillId="0" borderId="42" xfId="0" applyBorder="1" applyAlignment="1" applyProtection="1">
      <alignment horizontal="center"/>
    </xf>
    <xf numFmtId="0" fontId="0" fillId="0" borderId="45" xfId="0" applyBorder="1" applyAlignment="1" applyProtection="1">
      <alignment horizontal="center"/>
    </xf>
    <xf numFmtId="0" fontId="0" fillId="0" borderId="20" xfId="0" applyBorder="1" applyAlignment="1" applyProtection="1">
      <alignment horizontal="center"/>
    </xf>
    <xf numFmtId="0" fontId="0" fillId="0" borderId="14" xfId="0" applyBorder="1" applyAlignment="1" applyProtection="1">
      <alignment horizontal="center"/>
    </xf>
    <xf numFmtId="0" fontId="0" fillId="0" borderId="21" xfId="0" applyBorder="1" applyAlignment="1" applyProtection="1">
      <alignment horizontal="center"/>
    </xf>
    <xf numFmtId="0" fontId="0" fillId="0" borderId="22" xfId="0" applyBorder="1" applyAlignment="1" applyProtection="1">
      <alignment horizontal="center"/>
    </xf>
    <xf numFmtId="0" fontId="0" fillId="0" borderId="46" xfId="0" applyBorder="1" applyAlignment="1" applyProtection="1">
      <alignment horizontal="center"/>
    </xf>
    <xf numFmtId="0" fontId="0" fillId="0" borderId="47" xfId="0" applyBorder="1" applyAlignment="1" applyProtection="1">
      <alignment horizontal="center"/>
    </xf>
    <xf numFmtId="49" fontId="0" fillId="5" borderId="30" xfId="0" applyNumberFormat="1" applyFill="1" applyBorder="1" applyAlignment="1" applyProtection="1">
      <alignment horizontal="center"/>
    </xf>
    <xf numFmtId="0" fontId="5" fillId="3" borderId="30" xfId="0" applyFont="1" applyFill="1" applyBorder="1" applyAlignment="1" applyProtection="1">
      <alignment horizontal="center"/>
    </xf>
    <xf numFmtId="0" fontId="5" fillId="3" borderId="31" xfId="0" applyFont="1" applyFill="1" applyBorder="1" applyAlignment="1" applyProtection="1">
      <alignment horizontal="center"/>
    </xf>
    <xf numFmtId="0" fontId="5" fillId="3" borderId="51" xfId="0" applyFont="1" applyFill="1" applyBorder="1" applyAlignment="1" applyProtection="1">
      <alignment horizontal="center"/>
    </xf>
    <xf numFmtId="0" fontId="5" fillId="3" borderId="32" xfId="0" applyFont="1" applyFill="1" applyBorder="1" applyAlignment="1" applyProtection="1">
      <alignment horizontal="center"/>
    </xf>
    <xf numFmtId="0" fontId="5" fillId="3" borderId="58" xfId="0" applyFont="1" applyFill="1" applyBorder="1" applyAlignment="1" applyProtection="1">
      <alignment horizontal="center"/>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48"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47"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49" xfId="0" applyFont="1" applyBorder="1" applyAlignment="1" applyProtection="1">
      <alignment horizontal="center" vertical="center" wrapText="1"/>
      <protection locked="0"/>
    </xf>
    <xf numFmtId="0" fontId="8" fillId="0" borderId="44" xfId="0" applyFont="1" applyBorder="1" applyAlignment="1" applyProtection="1">
      <alignment horizontal="center" vertical="center" wrapText="1"/>
      <protection locked="0"/>
    </xf>
    <xf numFmtId="0" fontId="0" fillId="7" borderId="30" xfId="0" applyFill="1" applyBorder="1" applyAlignment="1" applyProtection="1">
      <alignment horizontal="center"/>
    </xf>
    <xf numFmtId="0" fontId="0" fillId="7" borderId="31" xfId="0" applyFill="1" applyBorder="1" applyAlignment="1" applyProtection="1">
      <alignment horizontal="center"/>
    </xf>
    <xf numFmtId="0" fontId="0" fillId="5" borderId="36" xfId="0" applyFill="1" applyBorder="1" applyAlignment="1" applyProtection="1">
      <alignment horizontal="center" textRotation="90"/>
    </xf>
    <xf numFmtId="0" fontId="0" fillId="5" borderId="62" xfId="0" applyFill="1" applyBorder="1" applyAlignment="1" applyProtection="1">
      <alignment horizontal="center" textRotation="90"/>
    </xf>
    <xf numFmtId="0" fontId="5" fillId="5" borderId="3" xfId="0" applyFont="1" applyFill="1" applyBorder="1" applyAlignment="1" applyProtection="1">
      <alignment horizontal="center"/>
    </xf>
    <xf numFmtId="0" fontId="5" fillId="5" borderId="4" xfId="0" applyFont="1" applyFill="1" applyBorder="1" applyAlignment="1" applyProtection="1">
      <alignment horizontal="center"/>
    </xf>
    <xf numFmtId="0" fontId="5" fillId="0" borderId="30" xfId="0" applyFont="1" applyBorder="1" applyAlignment="1" applyProtection="1">
      <alignment horizontal="center"/>
    </xf>
    <xf numFmtId="0" fontId="5" fillId="0" borderId="31" xfId="0" applyFont="1" applyBorder="1" applyAlignment="1" applyProtection="1">
      <alignment horizontal="center"/>
    </xf>
    <xf numFmtId="0" fontId="5" fillId="0" borderId="51" xfId="0" applyFont="1" applyBorder="1" applyAlignment="1" applyProtection="1">
      <alignment horizontal="center"/>
    </xf>
    <xf numFmtId="0" fontId="0" fillId="0" borderId="21" xfId="0" applyBorder="1" applyAlignment="1" applyProtection="1">
      <alignment horizontal="center" vertical="center"/>
    </xf>
    <xf numFmtId="0" fontId="0" fillId="0" borderId="15" xfId="0" applyBorder="1" applyAlignment="1" applyProtection="1">
      <alignment horizontal="center" vertical="center"/>
    </xf>
    <xf numFmtId="1" fontId="0" fillId="0" borderId="42" xfId="0" applyNumberFormat="1" applyBorder="1" applyAlignment="1" applyProtection="1">
      <alignment horizontal="center"/>
    </xf>
    <xf numFmtId="1" fontId="0" fillId="0" borderId="15" xfId="0" applyNumberFormat="1" applyBorder="1" applyAlignment="1" applyProtection="1">
      <alignment horizontal="center"/>
    </xf>
    <xf numFmtId="1" fontId="0" fillId="0" borderId="43" xfId="0" applyNumberFormat="1" applyBorder="1" applyAlignment="1" applyProtection="1">
      <alignment horizontal="center"/>
    </xf>
    <xf numFmtId="1" fontId="0" fillId="0" borderId="23" xfId="0" applyNumberFormat="1" applyBorder="1" applyAlignment="1" applyProtection="1">
      <alignment horizontal="center"/>
    </xf>
    <xf numFmtId="0" fontId="0" fillId="0" borderId="20" xfId="0" applyBorder="1" applyAlignment="1" applyProtection="1">
      <alignment horizontal="center" vertical="center"/>
    </xf>
    <xf numFmtId="0" fontId="0" fillId="0" borderId="23" xfId="0" applyBorder="1" applyAlignment="1" applyProtection="1">
      <alignment horizontal="center" vertical="center"/>
    </xf>
    <xf numFmtId="0" fontId="0" fillId="0" borderId="11" xfId="0" applyNumberFormat="1" applyBorder="1" applyAlignment="1" applyProtection="1">
      <alignment horizontal="center" vertical="top" wrapText="1"/>
    </xf>
    <xf numFmtId="0" fontId="0" fillId="0" borderId="12" xfId="0" applyNumberFormat="1" applyBorder="1" applyAlignment="1" applyProtection="1">
      <alignment horizontal="center" vertical="top" wrapText="1"/>
    </xf>
    <xf numFmtId="0" fontId="0" fillId="0" borderId="13" xfId="0" applyNumberFormat="1" applyBorder="1" applyAlignment="1" applyProtection="1">
      <alignment horizontal="center" vertical="top" wrapText="1"/>
    </xf>
    <xf numFmtId="0" fontId="0" fillId="0" borderId="2" xfId="0" applyNumberFormat="1" applyBorder="1" applyAlignment="1" applyProtection="1">
      <alignment horizontal="center" vertical="top" wrapText="1"/>
    </xf>
    <xf numFmtId="0" fontId="0" fillId="0" borderId="0" xfId="0" applyNumberFormat="1" applyBorder="1" applyAlignment="1" applyProtection="1">
      <alignment horizontal="center" vertical="top" wrapText="1"/>
    </xf>
    <xf numFmtId="0" fontId="0" fillId="0" borderId="6" xfId="0" applyNumberFormat="1" applyBorder="1" applyAlignment="1" applyProtection="1">
      <alignment horizontal="center" vertical="top" wrapText="1"/>
    </xf>
    <xf numFmtId="0" fontId="0" fillId="0" borderId="7" xfId="0" applyNumberFormat="1" applyBorder="1" applyAlignment="1" applyProtection="1">
      <alignment horizontal="center" vertical="top" wrapText="1"/>
    </xf>
    <xf numFmtId="0" fontId="0" fillId="0" borderId="8" xfId="0" applyNumberFormat="1" applyBorder="1" applyAlignment="1" applyProtection="1">
      <alignment horizontal="center" vertical="top" wrapText="1"/>
    </xf>
    <xf numFmtId="0" fontId="0" fillId="0" borderId="9" xfId="0" applyNumberFormat="1" applyBorder="1" applyAlignment="1" applyProtection="1">
      <alignment horizontal="center" vertical="top" wrapText="1"/>
    </xf>
    <xf numFmtId="9" fontId="0" fillId="5" borderId="21" xfId="0" applyNumberFormat="1" applyFill="1" applyBorder="1" applyAlignment="1" applyProtection="1">
      <alignment horizontal="center" textRotation="90"/>
    </xf>
    <xf numFmtId="0" fontId="0" fillId="5" borderId="24" xfId="0" applyFill="1" applyBorder="1" applyAlignment="1" applyProtection="1">
      <alignment horizontal="center" textRotation="90"/>
    </xf>
    <xf numFmtId="0" fontId="0" fillId="5" borderId="21" xfId="0" applyFill="1" applyBorder="1" applyAlignment="1" applyProtection="1">
      <alignment horizontal="center" textRotation="90"/>
    </xf>
    <xf numFmtId="0" fontId="0" fillId="5" borderId="45" xfId="0" applyFill="1" applyBorder="1" applyAlignment="1" applyProtection="1">
      <alignment horizontal="center" textRotation="90"/>
    </xf>
    <xf numFmtId="0" fontId="0" fillId="5" borderId="47" xfId="0" applyFill="1" applyBorder="1" applyAlignment="1" applyProtection="1">
      <alignment horizontal="center" textRotation="90"/>
    </xf>
    <xf numFmtId="0" fontId="0" fillId="5" borderId="14" xfId="0" applyFill="1" applyBorder="1" applyAlignment="1" applyProtection="1">
      <alignment horizontal="center" vertical="center" textRotation="90"/>
    </xf>
    <xf numFmtId="0" fontId="0" fillId="5" borderId="15" xfId="0" applyFill="1" applyBorder="1" applyAlignment="1" applyProtection="1">
      <alignment horizontal="center" vertical="center" textRotation="90"/>
    </xf>
    <xf numFmtId="0" fontId="0" fillId="5" borderId="16" xfId="0" applyFill="1" applyBorder="1" applyAlignment="1" applyProtection="1">
      <alignment horizontal="center" vertical="center" textRotation="90"/>
    </xf>
    <xf numFmtId="0" fontId="0" fillId="5" borderId="17" xfId="0" applyFill="1" applyBorder="1" applyAlignment="1" applyProtection="1">
      <alignment horizontal="center" vertical="center" textRotation="90"/>
    </xf>
    <xf numFmtId="0" fontId="0" fillId="0" borderId="22" xfId="0" applyBorder="1" applyAlignment="1" applyProtection="1">
      <alignment horizontal="left"/>
    </xf>
    <xf numFmtId="0" fontId="0" fillId="0" borderId="20" xfId="0" applyBorder="1" applyAlignment="1" applyProtection="1">
      <alignment horizontal="left"/>
    </xf>
    <xf numFmtId="0" fontId="0" fillId="0" borderId="23" xfId="0" applyBorder="1" applyAlignment="1" applyProtection="1">
      <alignment horizontal="left"/>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54" xfId="0" applyBorder="1" applyAlignment="1" applyProtection="1">
      <alignment horizontal="center"/>
    </xf>
    <xf numFmtId="0" fontId="0" fillId="0" borderId="14" xfId="0" applyBorder="1" applyAlignment="1" applyProtection="1">
      <alignment horizontal="left"/>
    </xf>
    <xf numFmtId="0" fontId="0" fillId="0" borderId="21" xfId="0" applyBorder="1" applyAlignment="1" applyProtection="1">
      <alignment horizontal="left"/>
    </xf>
    <xf numFmtId="0" fontId="0" fillId="0" borderId="15" xfId="0" applyBorder="1" applyAlignment="1" applyProtection="1">
      <alignment horizontal="left"/>
    </xf>
    <xf numFmtId="0" fontId="0" fillId="0" borderId="16" xfId="0" applyBorder="1" applyAlignment="1" applyProtection="1">
      <alignment horizontal="left"/>
    </xf>
    <xf numFmtId="0" fontId="0" fillId="0" borderId="24" xfId="0" applyBorder="1" applyAlignment="1" applyProtection="1">
      <alignment horizontal="left"/>
    </xf>
    <xf numFmtId="0" fontId="0" fillId="0" borderId="17" xfId="0" applyBorder="1" applyAlignment="1" applyProtection="1">
      <alignment horizontal="left"/>
    </xf>
    <xf numFmtId="0" fontId="0" fillId="0" borderId="8" xfId="0" applyBorder="1" applyAlignment="1" applyProtection="1">
      <alignment horizontal="center"/>
    </xf>
    <xf numFmtId="0" fontId="0" fillId="0" borderId="0" xfId="0" applyBorder="1" applyAlignment="1" applyProtection="1">
      <alignment horizont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1" fontId="0" fillId="0" borderId="44" xfId="0" applyNumberFormat="1" applyBorder="1" applyAlignment="1" applyProtection="1">
      <alignment horizontal="center"/>
    </xf>
    <xf numFmtId="1" fontId="0" fillId="0" borderId="17" xfId="0" applyNumberFormat="1" applyBorder="1" applyAlignment="1" applyProtection="1">
      <alignment horizontal="center"/>
    </xf>
    <xf numFmtId="0" fontId="0" fillId="0" borderId="43" xfId="0" applyBorder="1" applyAlignment="1" applyProtection="1">
      <alignment horizontal="center"/>
    </xf>
    <xf numFmtId="0" fontId="0" fillId="0" borderId="23" xfId="0" applyBorder="1" applyAlignment="1" applyProtection="1">
      <alignment horizontal="center"/>
    </xf>
    <xf numFmtId="0" fontId="0" fillId="0" borderId="15" xfId="0" applyBorder="1" applyAlignment="1" applyProtection="1">
      <alignment horizontal="center"/>
    </xf>
    <xf numFmtId="1" fontId="0" fillId="0" borderId="49" xfId="0" applyNumberFormat="1" applyBorder="1" applyAlignment="1" applyProtection="1">
      <alignment horizontal="center"/>
    </xf>
    <xf numFmtId="1" fontId="0" fillId="0" borderId="41" xfId="0" applyNumberFormat="1" applyBorder="1" applyAlignment="1" applyProtection="1">
      <alignment horizontal="center"/>
    </xf>
    <xf numFmtId="1" fontId="0" fillId="0" borderId="0" xfId="0" applyNumberFormat="1" applyBorder="1" applyAlignment="1" applyProtection="1">
      <alignment horizontal="center"/>
    </xf>
    <xf numFmtId="0" fontId="0" fillId="0" borderId="44" xfId="0" applyBorder="1" applyAlignment="1" applyProtection="1">
      <alignment horizontal="center"/>
    </xf>
    <xf numFmtId="1" fontId="0" fillId="0" borderId="8" xfId="0" applyNumberFormat="1" applyBorder="1" applyAlignment="1" applyProtection="1">
      <alignment horizontal="center"/>
    </xf>
    <xf numFmtId="0" fontId="5" fillId="5" borderId="14" xfId="0" applyFont="1" applyFill="1" applyBorder="1" applyAlignment="1" applyProtection="1">
      <alignment horizontal="center"/>
    </xf>
    <xf numFmtId="0" fontId="5" fillId="5" borderId="21" xfId="0" applyFont="1" applyFill="1" applyBorder="1" applyAlignment="1" applyProtection="1">
      <alignment horizontal="center"/>
    </xf>
    <xf numFmtId="0" fontId="5" fillId="5" borderId="15" xfId="0" applyFont="1" applyFill="1" applyBorder="1" applyAlignment="1" applyProtection="1">
      <alignment horizontal="center"/>
    </xf>
    <xf numFmtId="0" fontId="5" fillId="5" borderId="22" xfId="0" applyFont="1" applyFill="1" applyBorder="1" applyAlignment="1" applyProtection="1">
      <alignment horizontal="center"/>
    </xf>
    <xf numFmtId="0" fontId="5" fillId="5" borderId="20" xfId="0" applyFont="1" applyFill="1" applyBorder="1" applyAlignment="1" applyProtection="1">
      <alignment horizontal="center"/>
    </xf>
    <xf numFmtId="0" fontId="5" fillId="5" borderId="23" xfId="0" applyFont="1" applyFill="1" applyBorder="1" applyAlignment="1" applyProtection="1">
      <alignment horizontal="center"/>
    </xf>
    <xf numFmtId="0" fontId="5" fillId="5" borderId="17" xfId="0" applyFont="1" applyFill="1" applyBorder="1" applyAlignment="1" applyProtection="1">
      <alignment horizontal="center"/>
    </xf>
    <xf numFmtId="0" fontId="7" fillId="22" borderId="31" xfId="0" applyFont="1" applyFill="1" applyBorder="1" applyAlignment="1" applyProtection="1">
      <alignment horizontal="center"/>
    </xf>
    <xf numFmtId="0" fontId="7" fillId="0" borderId="31" xfId="0" applyFont="1" applyBorder="1" applyAlignment="1" applyProtection="1">
      <alignment horizontal="center"/>
    </xf>
    <xf numFmtId="0" fontId="7" fillId="0" borderId="32" xfId="0" applyFont="1" applyBorder="1" applyAlignment="1" applyProtection="1">
      <alignment horizontal="center"/>
    </xf>
    <xf numFmtId="0" fontId="0" fillId="0" borderId="44"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17" xfId="0" applyBorder="1" applyAlignment="1" applyProtection="1">
      <alignment horizontal="center"/>
      <protection locked="0"/>
    </xf>
    <xf numFmtId="0" fontId="5" fillId="3" borderId="15" xfId="0" applyFont="1" applyFill="1" applyBorder="1" applyAlignment="1" applyProtection="1">
      <alignment horizontal="center"/>
    </xf>
    <xf numFmtId="0" fontId="0" fillId="0" borderId="42" xfId="0" applyBorder="1" applyAlignment="1" applyProtection="1">
      <alignment horizontal="center"/>
      <protection locked="0"/>
    </xf>
    <xf numFmtId="0" fontId="5" fillId="5" borderId="30" xfId="0" applyFont="1" applyFill="1" applyBorder="1" applyAlignment="1" applyProtection="1">
      <alignment horizontal="center"/>
    </xf>
    <xf numFmtId="0" fontId="5" fillId="5" borderId="31" xfId="0" applyFont="1" applyFill="1" applyBorder="1" applyAlignment="1" applyProtection="1">
      <alignment horizontal="center"/>
    </xf>
    <xf numFmtId="0" fontId="5" fillId="5" borderId="32" xfId="0" applyFont="1" applyFill="1" applyBorder="1" applyAlignment="1" applyProtection="1">
      <alignment horizontal="center"/>
    </xf>
    <xf numFmtId="0" fontId="0" fillId="5" borderId="14" xfId="0" applyFill="1" applyBorder="1" applyAlignment="1" applyProtection="1">
      <alignment horizontal="center"/>
    </xf>
    <xf numFmtId="0" fontId="0" fillId="5" borderId="21" xfId="0" applyFill="1" applyBorder="1" applyAlignment="1" applyProtection="1">
      <alignment horizontal="center"/>
    </xf>
    <xf numFmtId="0" fontId="0" fillId="5" borderId="15" xfId="0" applyFill="1" applyBorder="1" applyAlignment="1" applyProtection="1">
      <alignment horizontal="center"/>
    </xf>
    <xf numFmtId="0" fontId="6" fillId="0" borderId="15" xfId="0" applyFont="1" applyBorder="1" applyAlignment="1" applyProtection="1">
      <alignment horizontal="center"/>
    </xf>
    <xf numFmtId="0" fontId="6" fillId="0" borderId="23" xfId="0" applyFont="1" applyBorder="1" applyAlignment="1" applyProtection="1">
      <alignment horizontal="center"/>
    </xf>
    <xf numFmtId="0" fontId="11" fillId="0" borderId="27" xfId="0" applyFont="1" applyBorder="1" applyAlignment="1" applyProtection="1">
      <alignment horizontal="center"/>
    </xf>
    <xf numFmtId="0" fontId="5" fillId="3" borderId="16" xfId="0" applyFont="1" applyFill="1" applyBorder="1" applyAlignment="1" applyProtection="1">
      <alignment horizontal="center"/>
    </xf>
    <xf numFmtId="0" fontId="5" fillId="3" borderId="24" xfId="0" applyFont="1" applyFill="1" applyBorder="1" applyAlignment="1" applyProtection="1">
      <alignment horizontal="center"/>
    </xf>
    <xf numFmtId="0" fontId="5" fillId="3" borderId="17" xfId="0" applyFont="1" applyFill="1" applyBorder="1" applyAlignment="1" applyProtection="1">
      <alignment horizontal="center"/>
    </xf>
    <xf numFmtId="0" fontId="0" fillId="0" borderId="66" xfId="0" applyBorder="1" applyAlignment="1" applyProtection="1">
      <alignment horizontal="center"/>
    </xf>
    <xf numFmtId="0" fontId="0" fillId="0" borderId="68" xfId="0" applyBorder="1" applyAlignment="1" applyProtection="1">
      <alignment horizontal="center"/>
    </xf>
    <xf numFmtId="0" fontId="0" fillId="7" borderId="32" xfId="0" applyFill="1" applyBorder="1" applyAlignment="1" applyProtection="1">
      <alignment horizontal="center"/>
    </xf>
    <xf numFmtId="49" fontId="0" fillId="5" borderId="32" xfId="0" applyNumberFormat="1" applyFill="1" applyBorder="1" applyAlignment="1" applyProtection="1">
      <alignment horizontal="center"/>
    </xf>
    <xf numFmtId="0" fontId="5" fillId="5" borderId="3" xfId="0"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0" fontId="5" fillId="5" borderId="5" xfId="0" applyFont="1" applyFill="1" applyBorder="1" applyAlignment="1" applyProtection="1">
      <alignment horizontal="center" vertical="center"/>
    </xf>
    <xf numFmtId="0" fontId="0" fillId="0" borderId="21" xfId="0" applyBorder="1" applyAlignment="1" applyProtection="1">
      <alignment horizontal="center" vertical="top" wrapText="1"/>
    </xf>
    <xf numFmtId="0" fontId="0" fillId="0" borderId="15" xfId="0" applyBorder="1" applyAlignment="1" applyProtection="1">
      <alignment horizontal="center" vertical="top" wrapText="1"/>
    </xf>
    <xf numFmtId="0" fontId="5" fillId="0" borderId="14" xfId="0" applyFont="1" applyBorder="1" applyAlignment="1" applyProtection="1">
      <alignment horizontal="center" vertical="center" wrapText="1"/>
    </xf>
    <xf numFmtId="0" fontId="5" fillId="0" borderId="21"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0" fillId="5" borderId="11" xfId="0" applyFill="1" applyBorder="1" applyAlignment="1" applyProtection="1">
      <alignment horizontal="center" vertical="top" wrapText="1"/>
    </xf>
    <xf numFmtId="0" fontId="0" fillId="5" borderId="12" xfId="0" applyFill="1" applyBorder="1" applyAlignment="1" applyProtection="1">
      <alignment horizontal="center" vertical="top" wrapText="1"/>
    </xf>
    <xf numFmtId="0" fontId="0" fillId="5" borderId="13" xfId="0" applyFill="1" applyBorder="1" applyAlignment="1" applyProtection="1">
      <alignment horizontal="center" vertical="top" wrapText="1"/>
    </xf>
    <xf numFmtId="0" fontId="0" fillId="5" borderId="50" xfId="0" applyFill="1" applyBorder="1" applyAlignment="1" applyProtection="1">
      <alignment horizontal="center" vertical="top" wrapText="1"/>
    </xf>
    <xf numFmtId="0" fontId="0" fillId="5" borderId="69" xfId="0" applyFill="1" applyBorder="1" applyAlignment="1" applyProtection="1">
      <alignment horizontal="center" vertical="top" wrapText="1"/>
    </xf>
    <xf numFmtId="1" fontId="20" fillId="0" borderId="49" xfId="0" applyNumberFormat="1" applyFont="1" applyBorder="1" applyAlignment="1" applyProtection="1">
      <alignment horizontal="center" vertical="top" wrapText="1"/>
    </xf>
    <xf numFmtId="1" fontId="20" fillId="0" borderId="29" xfId="0" applyNumberFormat="1" applyFont="1" applyBorder="1" applyAlignment="1" applyProtection="1">
      <alignment horizontal="center" vertical="top" wrapText="1"/>
    </xf>
    <xf numFmtId="0" fontId="0" fillId="0" borderId="22" xfId="0" applyBorder="1" applyAlignment="1" applyProtection="1">
      <alignment horizontal="center" vertical="top" wrapText="1"/>
    </xf>
    <xf numFmtId="0" fontId="0" fillId="0" borderId="20" xfId="0" applyBorder="1" applyAlignment="1" applyProtection="1">
      <alignment horizontal="center" vertical="top" wrapText="1"/>
    </xf>
    <xf numFmtId="0" fontId="0" fillId="0" borderId="23" xfId="0" applyBorder="1" applyAlignment="1" applyProtection="1">
      <alignment horizontal="center" vertical="top" wrapText="1"/>
    </xf>
    <xf numFmtId="0" fontId="7" fillId="18" borderId="3" xfId="0" applyFont="1" applyFill="1" applyBorder="1" applyAlignment="1" applyProtection="1">
      <alignment horizontal="center" vertical="top" wrapText="1"/>
    </xf>
    <xf numFmtId="0" fontId="7" fillId="18" borderId="4" xfId="0" applyFont="1" applyFill="1" applyBorder="1" applyAlignment="1" applyProtection="1">
      <alignment horizontal="center" vertical="top" wrapText="1"/>
    </xf>
    <xf numFmtId="0" fontId="7" fillId="18" borderId="5" xfId="0" applyFont="1" applyFill="1" applyBorder="1" applyAlignment="1" applyProtection="1">
      <alignment horizontal="center" vertical="top" wrapText="1"/>
    </xf>
    <xf numFmtId="0" fontId="0" fillId="0" borderId="3" xfId="0" applyBorder="1" applyAlignment="1" applyProtection="1">
      <alignment horizontal="center" vertical="top" wrapText="1"/>
    </xf>
    <xf numFmtId="0" fontId="0" fillId="0" borderId="4" xfId="0" applyBorder="1" applyAlignment="1" applyProtection="1">
      <alignment horizontal="center" vertical="top" wrapText="1"/>
    </xf>
    <xf numFmtId="0" fontId="0" fillId="0" borderId="5" xfId="0" applyBorder="1" applyAlignment="1" applyProtection="1">
      <alignment horizontal="center" vertical="top" wrapText="1"/>
    </xf>
    <xf numFmtId="0" fontId="5" fillId="0" borderId="22"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5" borderId="69" xfId="0" applyFont="1" applyFill="1" applyBorder="1" applyAlignment="1" applyProtection="1">
      <alignment horizontal="center" vertical="top" wrapText="1"/>
    </xf>
    <xf numFmtId="0" fontId="5" fillId="5" borderId="66" xfId="0" applyFont="1" applyFill="1" applyBorder="1" applyAlignment="1" applyProtection="1">
      <alignment horizontal="center" vertical="top" wrapText="1"/>
    </xf>
    <xf numFmtId="0" fontId="5" fillId="0" borderId="42" xfId="0" applyFont="1" applyBorder="1" applyAlignment="1" applyProtection="1">
      <alignment horizontal="center" vertical="top" wrapText="1"/>
    </xf>
    <xf numFmtId="0" fontId="5" fillId="0" borderId="15" xfId="0" applyFont="1" applyBorder="1" applyAlignment="1" applyProtection="1">
      <alignment horizontal="center" vertical="top" wrapText="1"/>
    </xf>
    <xf numFmtId="0" fontId="5" fillId="0" borderId="43" xfId="0" applyFont="1" applyBorder="1" applyAlignment="1" applyProtection="1">
      <alignment horizontal="center" vertical="top" wrapText="1"/>
    </xf>
    <xf numFmtId="0" fontId="5" fillId="0" borderId="23" xfId="0" applyFont="1" applyBorder="1" applyAlignment="1" applyProtection="1">
      <alignment horizontal="center" vertical="top" wrapText="1"/>
    </xf>
    <xf numFmtId="0" fontId="0" fillId="0" borderId="25" xfId="0" applyBorder="1" applyAlignment="1" applyProtection="1">
      <alignment horizontal="center" vertical="top" wrapText="1"/>
    </xf>
    <xf numFmtId="0" fontId="0" fillId="0" borderId="26" xfId="0" applyBorder="1" applyAlignment="1" applyProtection="1">
      <alignment horizontal="center" vertical="top" wrapText="1"/>
    </xf>
    <xf numFmtId="0" fontId="0" fillId="0" borderId="27" xfId="0" applyBorder="1" applyAlignment="1" applyProtection="1">
      <alignment horizontal="center" vertical="top" wrapText="1"/>
    </xf>
    <xf numFmtId="0" fontId="0" fillId="0" borderId="14" xfId="0" applyBorder="1" applyAlignment="1" applyProtection="1">
      <alignment horizontal="center" vertical="top" wrapText="1"/>
    </xf>
    <xf numFmtId="0" fontId="0" fillId="0" borderId="3" xfId="0" applyBorder="1" applyAlignment="1" applyProtection="1">
      <alignment horizontal="center"/>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11" xfId="0" applyBorder="1" applyAlignment="1" applyProtection="1">
      <alignment horizontal="center" vertical="top" wrapText="1"/>
    </xf>
    <xf numFmtId="0" fontId="0" fillId="0" borderId="12" xfId="0" applyBorder="1" applyAlignment="1" applyProtection="1">
      <alignment horizontal="center" vertical="top" wrapText="1"/>
    </xf>
    <xf numFmtId="0" fontId="0" fillId="0" borderId="13" xfId="0" applyBorder="1" applyAlignment="1" applyProtection="1">
      <alignment horizontal="center" vertical="top" wrapText="1"/>
    </xf>
    <xf numFmtId="0" fontId="0" fillId="0" borderId="2" xfId="0" applyBorder="1" applyAlignment="1" applyProtection="1">
      <alignment horizontal="center" vertical="top" wrapText="1"/>
    </xf>
    <xf numFmtId="0" fontId="0" fillId="0" borderId="0" xfId="0" applyBorder="1" applyAlignment="1" applyProtection="1">
      <alignment horizontal="center" vertical="top" wrapText="1"/>
    </xf>
    <xf numFmtId="0" fontId="0" fillId="0" borderId="6" xfId="0" applyBorder="1" applyAlignment="1" applyProtection="1">
      <alignment horizontal="center" vertical="top" wrapText="1"/>
    </xf>
    <xf numFmtId="0" fontId="0" fillId="0" borderId="7" xfId="0" applyBorder="1" applyAlignment="1" applyProtection="1">
      <alignment horizontal="center" vertical="top" wrapText="1"/>
    </xf>
    <xf numFmtId="0" fontId="0" fillId="0" borderId="8" xfId="0" applyBorder="1" applyAlignment="1" applyProtection="1">
      <alignment horizontal="center" vertical="top" wrapText="1"/>
    </xf>
    <xf numFmtId="0" fontId="0" fillId="0" borderId="9" xfId="0" applyBorder="1" applyAlignment="1" applyProtection="1">
      <alignment horizontal="center" vertical="top" wrapText="1"/>
    </xf>
    <xf numFmtId="0" fontId="5" fillId="0" borderId="44" xfId="0" applyFont="1" applyBorder="1" applyAlignment="1" applyProtection="1">
      <alignment horizontal="center" vertical="top" wrapText="1"/>
    </xf>
    <xf numFmtId="0" fontId="5" fillId="0" borderId="17" xfId="0" applyFont="1" applyBorder="1" applyAlignment="1" applyProtection="1">
      <alignment horizontal="center" vertical="top" wrapText="1"/>
    </xf>
    <xf numFmtId="0" fontId="5" fillId="0" borderId="16"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5" borderId="36" xfId="0" applyFont="1" applyFill="1" applyBorder="1" applyAlignment="1" applyProtection="1">
      <alignment horizontal="center" vertical="top" wrapText="1"/>
    </xf>
    <xf numFmtId="0" fontId="5" fillId="5" borderId="40" xfId="0" applyFont="1" applyFill="1" applyBorder="1" applyAlignment="1" applyProtection="1">
      <alignment horizontal="center" vertical="top" wrapText="1"/>
    </xf>
    <xf numFmtId="49" fontId="0" fillId="2" borderId="14" xfId="0" applyNumberFormat="1" applyFill="1" applyBorder="1" applyAlignment="1" applyProtection="1">
      <alignment horizontal="center" vertical="top" wrapText="1"/>
    </xf>
    <xf numFmtId="49" fontId="0" fillId="2" borderId="21" xfId="0" applyNumberFormat="1" applyFill="1" applyBorder="1" applyAlignment="1" applyProtection="1">
      <alignment horizontal="center" vertical="top" wrapText="1"/>
    </xf>
    <xf numFmtId="49" fontId="0" fillId="2" borderId="15"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0" xfId="0" applyNumberFormat="1" applyFill="1" applyBorder="1" applyAlignment="1" applyProtection="1">
      <alignment horizontal="center" vertical="top" wrapText="1"/>
    </xf>
    <xf numFmtId="49" fontId="0" fillId="2" borderId="23" xfId="0" applyNumberFormat="1" applyFill="1" applyBorder="1" applyAlignment="1" applyProtection="1">
      <alignment horizontal="center" vertical="top" wrapText="1"/>
    </xf>
    <xf numFmtId="49" fontId="0" fillId="2" borderId="16" xfId="0" applyNumberFormat="1" applyFill="1" applyBorder="1" applyAlignment="1" applyProtection="1">
      <alignment horizontal="center" vertical="top" wrapText="1"/>
    </xf>
    <xf numFmtId="49" fontId="0" fillId="2" borderId="24" xfId="0" applyNumberFormat="1" applyFill="1" applyBorder="1" applyAlignment="1" applyProtection="1">
      <alignment horizontal="center" vertical="top" wrapText="1"/>
    </xf>
    <xf numFmtId="49" fontId="0" fillId="2" borderId="17" xfId="0" applyNumberFormat="1" applyFill="1" applyBorder="1" applyAlignment="1" applyProtection="1">
      <alignment horizontal="center" vertical="top" wrapText="1"/>
    </xf>
    <xf numFmtId="1" fontId="20" fillId="0" borderId="42" xfId="0" applyNumberFormat="1" applyFont="1" applyBorder="1" applyAlignment="1" applyProtection="1">
      <alignment horizontal="center" vertical="top" wrapText="1"/>
    </xf>
    <xf numFmtId="1" fontId="20" fillId="0" borderId="21" xfId="0" applyNumberFormat="1" applyFont="1" applyBorder="1" applyAlignment="1" applyProtection="1">
      <alignment horizontal="center" vertical="top" wrapText="1"/>
    </xf>
    <xf numFmtId="0" fontId="5" fillId="5" borderId="36" xfId="0" applyFont="1" applyFill="1" applyBorder="1" applyAlignment="1" applyProtection="1">
      <alignment horizontal="center" vertical="center" wrapText="1"/>
    </xf>
    <xf numFmtId="0" fontId="5" fillId="5" borderId="40" xfId="0" applyFont="1" applyFill="1" applyBorder="1" applyAlignment="1" applyProtection="1">
      <alignment horizontal="center" vertical="center" wrapText="1"/>
    </xf>
    <xf numFmtId="0" fontId="5" fillId="5" borderId="66" xfId="0" applyFont="1" applyFill="1" applyBorder="1" applyAlignment="1" applyProtection="1">
      <alignment horizontal="center" vertical="center" wrapText="1"/>
    </xf>
    <xf numFmtId="0" fontId="23" fillId="21" borderId="18" xfId="0" applyFont="1" applyFill="1" applyBorder="1" applyAlignment="1">
      <alignment horizontal="center" vertical="center" textRotation="90"/>
    </xf>
    <xf numFmtId="0" fontId="23" fillId="21" borderId="10" xfId="0" applyFont="1" applyFill="1" applyBorder="1" applyAlignment="1">
      <alignment horizontal="center" vertical="center" textRotation="90"/>
    </xf>
    <xf numFmtId="0" fontId="23" fillId="21" borderId="19" xfId="0" applyFont="1" applyFill="1" applyBorder="1" applyAlignment="1">
      <alignment horizontal="center" vertical="center" textRotation="90"/>
    </xf>
    <xf numFmtId="0" fontId="16" fillId="8" borderId="11" xfId="0" applyFont="1" applyFill="1" applyBorder="1" applyAlignment="1">
      <alignment horizontal="center"/>
    </xf>
    <xf numFmtId="0" fontId="16" fillId="8" borderId="2" xfId="0" applyFont="1" applyFill="1" applyBorder="1" applyAlignment="1">
      <alignment horizontal="center"/>
    </xf>
    <xf numFmtId="0" fontId="16" fillId="8" borderId="7" xfId="0" applyFont="1" applyFill="1" applyBorder="1" applyAlignment="1">
      <alignment horizontal="center"/>
    </xf>
    <xf numFmtId="0" fontId="15" fillId="14" borderId="18" xfId="0" applyFont="1" applyFill="1" applyBorder="1" applyAlignment="1">
      <alignment horizontal="center" vertical="center" textRotation="90"/>
    </xf>
    <xf numFmtId="0" fontId="15" fillId="14" borderId="10" xfId="0" applyFont="1" applyFill="1" applyBorder="1" applyAlignment="1">
      <alignment horizontal="center" vertical="center" textRotation="90"/>
    </xf>
    <xf numFmtId="0" fontId="15" fillId="18" borderId="18" xfId="0" applyFont="1" applyFill="1" applyBorder="1" applyAlignment="1">
      <alignment horizontal="center" vertical="center" textRotation="90"/>
    </xf>
    <xf numFmtId="0" fontId="15" fillId="18" borderId="10" xfId="0" applyFont="1" applyFill="1" applyBorder="1" applyAlignment="1">
      <alignment horizontal="center" vertical="center" textRotation="90"/>
    </xf>
    <xf numFmtId="0" fontId="15" fillId="18" borderId="19" xfId="0" applyFont="1" applyFill="1" applyBorder="1" applyAlignment="1">
      <alignment horizontal="center" vertical="center" textRotation="90"/>
    </xf>
    <xf numFmtId="0" fontId="14" fillId="12" borderId="18" xfId="0" applyFont="1" applyFill="1" applyBorder="1" applyAlignment="1">
      <alignment horizontal="center" vertical="center" textRotation="90"/>
    </xf>
    <xf numFmtId="0" fontId="14" fillId="12" borderId="10" xfId="0" applyFont="1" applyFill="1" applyBorder="1" applyAlignment="1">
      <alignment horizontal="center" vertical="center" textRotation="90"/>
    </xf>
    <xf numFmtId="0" fontId="14" fillId="12" borderId="19" xfId="0" applyFont="1" applyFill="1" applyBorder="1" applyAlignment="1">
      <alignment horizontal="center" vertical="center" textRotation="90"/>
    </xf>
    <xf numFmtId="0" fontId="14" fillId="11" borderId="18" xfId="0" applyFont="1" applyFill="1" applyBorder="1" applyAlignment="1">
      <alignment horizontal="center" vertical="center" textRotation="90"/>
    </xf>
    <xf numFmtId="0" fontId="14" fillId="11" borderId="10" xfId="0" applyFont="1" applyFill="1" applyBorder="1" applyAlignment="1">
      <alignment horizontal="center" vertical="center" textRotation="90"/>
    </xf>
    <xf numFmtId="0" fontId="14" fillId="11" borderId="19" xfId="0" applyFont="1" applyFill="1" applyBorder="1" applyAlignment="1">
      <alignment horizontal="center" vertical="center" textRotation="90"/>
    </xf>
    <xf numFmtId="0" fontId="14" fillId="13" borderId="18" xfId="0" applyFont="1" applyFill="1" applyBorder="1" applyAlignment="1">
      <alignment horizontal="center" vertical="center" textRotation="90"/>
    </xf>
    <xf numFmtId="0" fontId="14" fillId="13" borderId="10" xfId="0" applyFont="1" applyFill="1" applyBorder="1" applyAlignment="1">
      <alignment horizontal="center" vertical="center" textRotation="90"/>
    </xf>
    <xf numFmtId="0" fontId="14" fillId="13" borderId="19" xfId="0" applyFont="1" applyFill="1" applyBorder="1" applyAlignment="1">
      <alignment horizontal="center" vertical="center" textRotation="90"/>
    </xf>
    <xf numFmtId="0" fontId="14" fillId="6" borderId="18" xfId="0" applyFont="1" applyFill="1" applyBorder="1" applyAlignment="1">
      <alignment horizontal="center" vertical="center" textRotation="90"/>
    </xf>
    <xf numFmtId="0" fontId="14" fillId="6" borderId="10" xfId="0" applyFont="1" applyFill="1" applyBorder="1" applyAlignment="1">
      <alignment horizontal="center" vertical="center" textRotation="90"/>
    </xf>
    <xf numFmtId="0" fontId="14" fillId="6" borderId="19" xfId="0" applyFont="1" applyFill="1" applyBorder="1" applyAlignment="1">
      <alignment horizontal="center" vertical="center" textRotation="90"/>
    </xf>
    <xf numFmtId="0" fontId="14" fillId="11" borderId="13" xfId="0" applyFont="1" applyFill="1" applyBorder="1" applyAlignment="1">
      <alignment horizontal="center" vertical="center" textRotation="90"/>
    </xf>
    <xf numFmtId="0" fontId="14" fillId="11" borderId="6" xfId="0" applyFont="1" applyFill="1" applyBorder="1" applyAlignment="1">
      <alignment horizontal="center" vertical="center" textRotation="90"/>
    </xf>
    <xf numFmtId="0" fontId="14" fillId="11" borderId="9" xfId="0" applyFont="1" applyFill="1" applyBorder="1" applyAlignment="1">
      <alignment horizontal="center" vertical="center" textRotation="90"/>
    </xf>
    <xf numFmtId="0" fontId="14" fillId="13" borderId="11" xfId="0" applyFont="1" applyFill="1" applyBorder="1" applyAlignment="1">
      <alignment horizontal="center" vertical="center" textRotation="90"/>
    </xf>
    <xf numFmtId="0" fontId="14" fillId="13" borderId="2" xfId="0" applyFont="1" applyFill="1" applyBorder="1" applyAlignment="1">
      <alignment horizontal="center" vertical="center" textRotation="90"/>
    </xf>
    <xf numFmtId="0" fontId="14" fillId="6" borderId="11" xfId="0" applyFont="1" applyFill="1" applyBorder="1" applyAlignment="1">
      <alignment horizontal="center" vertical="center" textRotation="90"/>
    </xf>
    <xf numFmtId="0" fontId="14" fillId="6" borderId="2" xfId="0" applyFont="1" applyFill="1" applyBorder="1" applyAlignment="1">
      <alignment horizontal="center" vertical="center" textRotation="90"/>
    </xf>
    <xf numFmtId="0" fontId="14" fillId="6" borderId="7" xfId="0" applyFont="1" applyFill="1" applyBorder="1" applyAlignment="1">
      <alignment horizontal="center" vertical="center" textRotation="90"/>
    </xf>
    <xf numFmtId="0" fontId="15" fillId="18" borderId="11" xfId="0" applyFont="1" applyFill="1" applyBorder="1" applyAlignment="1">
      <alignment horizontal="center" vertical="center" textRotation="90"/>
    </xf>
    <xf numFmtId="0" fontId="15" fillId="18" borderId="2" xfId="0" applyFont="1" applyFill="1" applyBorder="1" applyAlignment="1">
      <alignment horizontal="center" vertical="center" textRotation="90"/>
    </xf>
    <xf numFmtId="0" fontId="15" fillId="18" borderId="7" xfId="0" applyFont="1" applyFill="1" applyBorder="1" applyAlignment="1">
      <alignment horizontal="center" vertical="center" textRotation="90"/>
    </xf>
    <xf numFmtId="0" fontId="0" fillId="4" borderId="18" xfId="0" applyFill="1" applyBorder="1" applyAlignment="1">
      <alignment horizontal="center" vertical="center" textRotation="90"/>
    </xf>
    <xf numFmtId="0" fontId="0" fillId="4" borderId="10" xfId="0" applyFill="1" applyBorder="1" applyAlignment="1">
      <alignment horizontal="center" vertical="center" textRotation="90"/>
    </xf>
    <xf numFmtId="0" fontId="0" fillId="4" borderId="19" xfId="0" applyFill="1" applyBorder="1" applyAlignment="1">
      <alignment horizontal="center" vertical="center" textRotation="90"/>
    </xf>
    <xf numFmtId="0" fontId="0" fillId="4" borderId="11" xfId="0" applyFill="1" applyBorder="1" applyAlignment="1">
      <alignment horizontal="center" vertical="center" textRotation="90"/>
    </xf>
    <xf numFmtId="0" fontId="0" fillId="4" borderId="2" xfId="0" applyFill="1" applyBorder="1" applyAlignment="1">
      <alignment horizontal="center" vertical="center" textRotation="90"/>
    </xf>
    <xf numFmtId="0" fontId="0" fillId="4" borderId="7" xfId="0" applyFill="1" applyBorder="1" applyAlignment="1">
      <alignment horizontal="center" vertical="center" textRotation="90"/>
    </xf>
    <xf numFmtId="0" fontId="0" fillId="4" borderId="11" xfId="0" applyFill="1" applyBorder="1" applyAlignment="1">
      <alignment horizontal="center" textRotation="90"/>
    </xf>
    <xf numFmtId="0" fontId="0" fillId="4" borderId="2" xfId="0" applyFill="1" applyBorder="1" applyAlignment="1">
      <alignment horizontal="center" textRotation="90"/>
    </xf>
    <xf numFmtId="0" fontId="0" fillId="4" borderId="7" xfId="0" applyFill="1" applyBorder="1" applyAlignment="1">
      <alignment horizontal="center" textRotation="90"/>
    </xf>
    <xf numFmtId="0" fontId="0" fillId="4" borderId="11" xfId="0" applyFill="1" applyBorder="1" applyAlignment="1">
      <alignment horizontal="center" vertical="center"/>
    </xf>
    <xf numFmtId="0" fontId="0" fillId="4" borderId="2" xfId="0" applyFill="1" applyBorder="1" applyAlignment="1">
      <alignment horizontal="center" vertical="center"/>
    </xf>
    <xf numFmtId="0" fontId="0" fillId="4" borderId="7" xfId="0" applyFill="1" applyBorder="1" applyAlignment="1">
      <alignment horizontal="center" vertical="center"/>
    </xf>
    <xf numFmtId="0" fontId="22" fillId="4" borderId="1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8" xfId="0" applyFont="1" applyFill="1" applyBorder="1" applyAlignment="1">
      <alignment horizontal="center" vertical="center"/>
    </xf>
    <xf numFmtId="0" fontId="22" fillId="4" borderId="9" xfId="0" applyFont="1" applyFill="1" applyBorder="1" applyAlignment="1">
      <alignment horizontal="center" vertical="center"/>
    </xf>
    <xf numFmtId="0" fontId="19" fillId="16" borderId="70" xfId="1" applyFont="1" applyAlignment="1">
      <alignment horizontal="center" vertical="center"/>
    </xf>
    <xf numFmtId="0" fontId="0" fillId="2" borderId="0" xfId="0" applyFill="1" applyBorder="1" applyAlignment="1">
      <alignment horizontal="center" vertical="top" wrapText="1"/>
    </xf>
    <xf numFmtId="0" fontId="9" fillId="4" borderId="18" xfId="0" applyFont="1" applyFill="1" applyBorder="1" applyAlignment="1">
      <alignment horizontal="center" vertical="center" textRotation="90" wrapText="1"/>
    </xf>
    <xf numFmtId="0" fontId="9" fillId="4" borderId="10" xfId="0" applyFont="1" applyFill="1" applyBorder="1" applyAlignment="1">
      <alignment horizontal="center" vertical="center" textRotation="90" wrapText="1"/>
    </xf>
    <xf numFmtId="0" fontId="9" fillId="4" borderId="19" xfId="0" applyFont="1" applyFill="1" applyBorder="1" applyAlignment="1">
      <alignment horizontal="center" vertical="center" textRotation="90" wrapText="1"/>
    </xf>
    <xf numFmtId="0" fontId="0" fillId="2" borderId="0" xfId="0" applyFill="1" applyBorder="1" applyAlignment="1">
      <alignment horizontal="center"/>
    </xf>
    <xf numFmtId="0" fontId="0" fillId="0" borderId="13"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0" fillId="0" borderId="12" xfId="0" applyBorder="1" applyAlignment="1">
      <alignment horizontal="center" vertical="top" wrapText="1"/>
    </xf>
    <xf numFmtId="0" fontId="0" fillId="0" borderId="0" xfId="0" applyBorder="1" applyAlignment="1">
      <alignment horizontal="center" vertical="top" wrapText="1"/>
    </xf>
    <xf numFmtId="0" fontId="0" fillId="0" borderId="8" xfId="0" applyBorder="1" applyAlignment="1">
      <alignment horizontal="center" vertical="top" wrapText="1"/>
    </xf>
    <xf numFmtId="0" fontId="14" fillId="21" borderId="36" xfId="0" applyFont="1" applyFill="1" applyBorder="1" applyAlignment="1">
      <alignment horizontal="center" textRotation="90"/>
    </xf>
    <xf numFmtId="0" fontId="14" fillId="21" borderId="72" xfId="0" applyFont="1" applyFill="1" applyBorder="1" applyAlignment="1">
      <alignment horizontal="center" textRotation="90"/>
    </xf>
    <xf numFmtId="0" fontId="14" fillId="21" borderId="62" xfId="0" applyFont="1" applyFill="1" applyBorder="1" applyAlignment="1">
      <alignment horizontal="center" textRotation="90"/>
    </xf>
    <xf numFmtId="0" fontId="0" fillId="0" borderId="18" xfId="0" applyBorder="1" applyAlignment="1">
      <alignment horizontal="center" vertical="top" wrapText="1"/>
    </xf>
    <xf numFmtId="0" fontId="0" fillId="0" borderId="10" xfId="0" applyBorder="1" applyAlignment="1">
      <alignment horizontal="center" vertical="top" wrapText="1"/>
    </xf>
    <xf numFmtId="0" fontId="0" fillId="0" borderId="19" xfId="0" applyBorder="1" applyAlignment="1">
      <alignment horizontal="center" vertical="top" wrapText="1"/>
    </xf>
    <xf numFmtId="0" fontId="14" fillId="12" borderId="13" xfId="0" applyFont="1" applyFill="1" applyBorder="1" applyAlignment="1">
      <alignment horizontal="center" vertical="center" textRotation="90"/>
    </xf>
    <xf numFmtId="0" fontId="14" fillId="12" borderId="6" xfId="0" applyFont="1" applyFill="1" applyBorder="1" applyAlignment="1">
      <alignment horizontal="center" vertical="center" textRotation="90"/>
    </xf>
    <xf numFmtId="0" fontId="15" fillId="2" borderId="12" xfId="0" applyFont="1" applyFill="1" applyBorder="1" applyAlignment="1">
      <alignment horizontal="center" vertical="center" textRotation="90"/>
    </xf>
    <xf numFmtId="0" fontId="15" fillId="2" borderId="0" xfId="0" applyFont="1" applyFill="1" applyBorder="1" applyAlignment="1">
      <alignment horizontal="center" vertical="center" textRotation="90"/>
    </xf>
  </cellXfs>
  <cellStyles count="2">
    <cellStyle name="Commentaire" xfId="1" builtinId="10"/>
    <cellStyle name="Normal" xfId="0" builtinId="0"/>
  </cellStyles>
  <dxfs count="31">
    <dxf>
      <font>
        <condense val="0"/>
        <extend val="0"/>
        <color rgb="FF006100"/>
      </font>
      <fill>
        <patternFill>
          <bgColor rgb="FFC6EF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ill>
        <patternFill>
          <bgColor rgb="FF00B050"/>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0"/>
        </patternFill>
      </fill>
    </dxf>
    <dxf>
      <font>
        <color theme="1" tint="0.499984740745262"/>
      </font>
      <fill>
        <patternFill>
          <bgColor theme="0" tint="-0.24994659260841701"/>
        </patternFill>
      </fill>
    </dxf>
    <dxf>
      <font>
        <color theme="0"/>
      </font>
    </dxf>
    <dxf>
      <font>
        <color theme="0"/>
      </font>
    </dxf>
    <dxf>
      <font>
        <color theme="1" tint="0.34998626667073579"/>
      </font>
      <fill>
        <patternFill>
          <bgColor theme="0" tint="-0.24994659260841701"/>
        </patternFill>
      </fill>
    </dxf>
    <dxf>
      <font>
        <color theme="0"/>
      </font>
    </dxf>
    <dxf>
      <font>
        <color theme="0"/>
      </font>
    </dxf>
    <dxf>
      <fill>
        <patternFill>
          <bgColor theme="0" tint="-0.14996795556505021"/>
        </patternFill>
      </fill>
    </dxf>
    <dxf>
      <font>
        <color theme="0"/>
      </font>
    </dxf>
    <dxf>
      <fill>
        <patternFill>
          <bgColor theme="8" tint="0.39994506668294322"/>
        </patternFill>
      </fill>
    </dxf>
    <dxf>
      <font>
        <color theme="0"/>
      </font>
    </dxf>
    <dxf>
      <fill>
        <patternFill>
          <bgColor theme="0" tint="-0.14996795556505021"/>
        </patternFill>
      </fill>
    </dxf>
    <dxf>
      <font>
        <color theme="0"/>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auto="1"/>
      </font>
      <fill>
        <patternFill>
          <bgColor theme="9" tint="0.59996337778862885"/>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1:H26"/>
  <sheetViews>
    <sheetView topLeftCell="A4" workbookViewId="0">
      <selection activeCell="B5" sqref="B5:H26"/>
    </sheetView>
  </sheetViews>
  <sheetFormatPr baseColWidth="10" defaultColWidth="9.140625" defaultRowHeight="15"/>
  <cols>
    <col min="1" max="1" width="3.28515625" customWidth="1"/>
    <col min="8" max="8" width="44.42578125" customWidth="1"/>
    <col min="9" max="9" width="4.28515625" customWidth="1"/>
  </cols>
  <sheetData>
    <row r="1" spans="2:8" ht="15.75" thickBot="1"/>
    <row r="2" spans="2:8">
      <c r="B2" s="376" t="s">
        <v>525</v>
      </c>
      <c r="C2" s="377"/>
      <c r="D2" s="377"/>
      <c r="E2" s="377"/>
      <c r="F2" s="377"/>
      <c r="G2" s="377"/>
      <c r="H2" s="378"/>
    </row>
    <row r="3" spans="2:8" ht="15.75" thickBot="1">
      <c r="B3" s="379"/>
      <c r="C3" s="380"/>
      <c r="D3" s="380"/>
      <c r="E3" s="380"/>
      <c r="F3" s="380"/>
      <c r="G3" s="380"/>
      <c r="H3" s="381"/>
    </row>
    <row r="5" spans="2:8">
      <c r="B5" s="382" t="s">
        <v>931</v>
      </c>
      <c r="C5" s="383"/>
      <c r="D5" s="383"/>
      <c r="E5" s="383"/>
      <c r="F5" s="383"/>
      <c r="G5" s="383"/>
      <c r="H5" s="384"/>
    </row>
    <row r="6" spans="2:8">
      <c r="B6" s="385"/>
      <c r="C6" s="386"/>
      <c r="D6" s="386"/>
      <c r="E6" s="386"/>
      <c r="F6" s="386"/>
      <c r="G6" s="386"/>
      <c r="H6" s="387"/>
    </row>
    <row r="7" spans="2:8">
      <c r="B7" s="385"/>
      <c r="C7" s="386"/>
      <c r="D7" s="386"/>
      <c r="E7" s="386"/>
      <c r="F7" s="386"/>
      <c r="G7" s="386"/>
      <c r="H7" s="387"/>
    </row>
    <row r="8" spans="2:8">
      <c r="B8" s="385"/>
      <c r="C8" s="386"/>
      <c r="D8" s="386"/>
      <c r="E8" s="386"/>
      <c r="F8" s="386"/>
      <c r="G8" s="386"/>
      <c r="H8" s="387"/>
    </row>
    <row r="9" spans="2:8">
      <c r="B9" s="385"/>
      <c r="C9" s="386"/>
      <c r="D9" s="386"/>
      <c r="E9" s="386"/>
      <c r="F9" s="386"/>
      <c r="G9" s="386"/>
      <c r="H9" s="387"/>
    </row>
    <row r="10" spans="2:8">
      <c r="B10" s="385"/>
      <c r="C10" s="386"/>
      <c r="D10" s="386"/>
      <c r="E10" s="386"/>
      <c r="F10" s="386"/>
      <c r="G10" s="386"/>
      <c r="H10" s="387"/>
    </row>
    <row r="11" spans="2:8">
      <c r="B11" s="385"/>
      <c r="C11" s="386"/>
      <c r="D11" s="386"/>
      <c r="E11" s="386"/>
      <c r="F11" s="386"/>
      <c r="G11" s="386"/>
      <c r="H11" s="387"/>
    </row>
    <row r="12" spans="2:8">
      <c r="B12" s="385"/>
      <c r="C12" s="386"/>
      <c r="D12" s="386"/>
      <c r="E12" s="386"/>
      <c r="F12" s="386"/>
      <c r="G12" s="386"/>
      <c r="H12" s="387"/>
    </row>
    <row r="13" spans="2:8">
      <c r="B13" s="385"/>
      <c r="C13" s="386"/>
      <c r="D13" s="386"/>
      <c r="E13" s="386"/>
      <c r="F13" s="386"/>
      <c r="G13" s="386"/>
      <c r="H13" s="387"/>
    </row>
    <row r="14" spans="2:8">
      <c r="B14" s="385"/>
      <c r="C14" s="386"/>
      <c r="D14" s="386"/>
      <c r="E14" s="386"/>
      <c r="F14" s="386"/>
      <c r="G14" s="386"/>
      <c r="H14" s="387"/>
    </row>
    <row r="15" spans="2:8">
      <c r="B15" s="385"/>
      <c r="C15" s="386"/>
      <c r="D15" s="386"/>
      <c r="E15" s="386"/>
      <c r="F15" s="386"/>
      <c r="G15" s="386"/>
      <c r="H15" s="387"/>
    </row>
    <row r="16" spans="2:8">
      <c r="B16" s="385"/>
      <c r="C16" s="386"/>
      <c r="D16" s="386"/>
      <c r="E16" s="386"/>
      <c r="F16" s="386"/>
      <c r="G16" s="386"/>
      <c r="H16" s="387"/>
    </row>
    <row r="17" spans="2:8">
      <c r="B17" s="385"/>
      <c r="C17" s="386"/>
      <c r="D17" s="386"/>
      <c r="E17" s="386"/>
      <c r="F17" s="386"/>
      <c r="G17" s="386"/>
      <c r="H17" s="387"/>
    </row>
    <row r="18" spans="2:8">
      <c r="B18" s="385"/>
      <c r="C18" s="386"/>
      <c r="D18" s="386"/>
      <c r="E18" s="386"/>
      <c r="F18" s="386"/>
      <c r="G18" s="386"/>
      <c r="H18" s="387"/>
    </row>
    <row r="19" spans="2:8">
      <c r="B19" s="385"/>
      <c r="C19" s="386"/>
      <c r="D19" s="386"/>
      <c r="E19" s="386"/>
      <c r="F19" s="386"/>
      <c r="G19" s="386"/>
      <c r="H19" s="387"/>
    </row>
    <row r="20" spans="2:8">
      <c r="B20" s="385"/>
      <c r="C20" s="386"/>
      <c r="D20" s="386"/>
      <c r="E20" s="386"/>
      <c r="F20" s="386"/>
      <c r="G20" s="386"/>
      <c r="H20" s="387"/>
    </row>
    <row r="21" spans="2:8">
      <c r="B21" s="385"/>
      <c r="C21" s="386"/>
      <c r="D21" s="386"/>
      <c r="E21" s="386"/>
      <c r="F21" s="386"/>
      <c r="G21" s="386"/>
      <c r="H21" s="387"/>
    </row>
    <row r="22" spans="2:8">
      <c r="B22" s="385"/>
      <c r="C22" s="386"/>
      <c r="D22" s="386"/>
      <c r="E22" s="386"/>
      <c r="F22" s="386"/>
      <c r="G22" s="386"/>
      <c r="H22" s="387"/>
    </row>
    <row r="23" spans="2:8">
      <c r="B23" s="385"/>
      <c r="C23" s="386"/>
      <c r="D23" s="386"/>
      <c r="E23" s="386"/>
      <c r="F23" s="386"/>
      <c r="G23" s="386"/>
      <c r="H23" s="387"/>
    </row>
    <row r="24" spans="2:8">
      <c r="B24" s="385"/>
      <c r="C24" s="386"/>
      <c r="D24" s="386"/>
      <c r="E24" s="386"/>
      <c r="F24" s="386"/>
      <c r="G24" s="386"/>
      <c r="H24" s="387"/>
    </row>
    <row r="25" spans="2:8">
      <c r="B25" s="385"/>
      <c r="C25" s="386"/>
      <c r="D25" s="386"/>
      <c r="E25" s="386"/>
      <c r="F25" s="386"/>
      <c r="G25" s="386"/>
      <c r="H25" s="387"/>
    </row>
    <row r="26" spans="2:8" ht="372" customHeight="1">
      <c r="B26" s="388"/>
      <c r="C26" s="389"/>
      <c r="D26" s="389"/>
      <c r="E26" s="389"/>
      <c r="F26" s="389"/>
      <c r="G26" s="389"/>
      <c r="H26" s="390"/>
    </row>
  </sheetData>
  <mergeCells count="2">
    <mergeCell ref="B2:H3"/>
    <mergeCell ref="B5:H26"/>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BP99"/>
  <sheetViews>
    <sheetView tabSelected="1" zoomScaleNormal="100" zoomScaleSheetLayoutView="100" zoomScalePageLayoutView="25" workbookViewId="0">
      <selection activeCell="AN10" sqref="AN10"/>
    </sheetView>
  </sheetViews>
  <sheetFormatPr baseColWidth="10" defaultColWidth="2.7109375" defaultRowHeight="15" outlineLevelRow="1"/>
  <cols>
    <col min="1" max="7" width="3.5703125" style="351" customWidth="1"/>
    <col min="8" max="8" width="18.140625" style="351" customWidth="1"/>
    <col min="9" max="16" width="3.5703125" style="351" customWidth="1"/>
    <col min="17" max="17" width="2.140625" style="351" customWidth="1"/>
    <col min="18" max="42" width="3.5703125" style="351" customWidth="1"/>
    <col min="43" max="43" width="53.28515625" style="351" customWidth="1"/>
    <col min="44" max="16384" width="2.7109375" style="351"/>
  </cols>
  <sheetData>
    <row r="1" spans="1:68" ht="15.75" thickBot="1">
      <c r="A1" s="348"/>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50"/>
    </row>
    <row r="2" spans="1:68">
      <c r="A2" s="352"/>
      <c r="B2" s="432" t="s">
        <v>73</v>
      </c>
      <c r="C2" s="433"/>
      <c r="D2" s="433"/>
      <c r="E2" s="434"/>
      <c r="F2" s="420" t="s">
        <v>0</v>
      </c>
      <c r="G2" s="421"/>
      <c r="H2" s="421"/>
      <c r="I2" s="421"/>
      <c r="J2" s="421"/>
      <c r="K2" s="421"/>
      <c r="L2" s="422"/>
      <c r="M2" s="353"/>
      <c r="N2" s="353"/>
      <c r="O2" s="528" t="s">
        <v>233</v>
      </c>
      <c r="P2" s="529"/>
      <c r="Q2" s="529"/>
      <c r="R2" s="530"/>
      <c r="S2" s="443">
        <f ca="1">INDIRECT(CONCATENATE("MISC!"&amp;MISC!E1&amp;"72"))</f>
        <v>24</v>
      </c>
      <c r="T2" s="447"/>
      <c r="U2" s="522"/>
      <c r="V2" s="353"/>
      <c r="W2" s="353"/>
      <c r="X2" s="353"/>
      <c r="Y2" s="353"/>
      <c r="Z2" s="528" t="s">
        <v>458</v>
      </c>
      <c r="AA2" s="529"/>
      <c r="AB2" s="529"/>
      <c r="AC2" s="529"/>
      <c r="AD2" s="529"/>
      <c r="AE2" s="529"/>
      <c r="AF2" s="529"/>
      <c r="AG2" s="530"/>
      <c r="AH2" s="443" t="str">
        <f ca="1">INDIRECT(CONCATENATE("MISC!"&amp;MISC!E1&amp;"40"))</f>
        <v>Blond cendré</v>
      </c>
      <c r="AI2" s="447"/>
      <c r="AJ2" s="447"/>
      <c r="AK2" s="447"/>
      <c r="AL2" s="447"/>
      <c r="AM2" s="447"/>
      <c r="AN2" s="522"/>
      <c r="AO2" s="353"/>
      <c r="AP2" s="354"/>
    </row>
    <row r="3" spans="1:68">
      <c r="A3" s="352"/>
      <c r="B3" s="438" t="s">
        <v>235</v>
      </c>
      <c r="C3" s="439"/>
      <c r="D3" s="439"/>
      <c r="E3" s="440"/>
      <c r="F3" s="423" t="s">
        <v>615</v>
      </c>
      <c r="G3" s="424"/>
      <c r="H3" s="424"/>
      <c r="I3" s="424"/>
      <c r="J3" s="424"/>
      <c r="K3" s="424"/>
      <c r="L3" s="425"/>
      <c r="M3" s="353"/>
      <c r="N3" s="353"/>
      <c r="O3" s="531" t="s">
        <v>389</v>
      </c>
      <c r="P3" s="532"/>
      <c r="Q3" s="532"/>
      <c r="R3" s="533"/>
      <c r="S3" s="520" t="str">
        <f ca="1">IF(F3="Feminin",INDIRECT(CONCATENATE("MISC!"&amp;MISC!E1&amp;"115")),INDIRECT(CONCATENATE("MISC!"&amp;MISC!E1&amp;"116")))</f>
        <v>1,545 m</v>
      </c>
      <c r="T3" s="445"/>
      <c r="U3" s="521"/>
      <c r="V3" s="353"/>
      <c r="W3" s="353"/>
      <c r="X3" s="353"/>
      <c r="Y3" s="353"/>
      <c r="Z3" s="531" t="s">
        <v>459</v>
      </c>
      <c r="AA3" s="532"/>
      <c r="AB3" s="532"/>
      <c r="AC3" s="532"/>
      <c r="AD3" s="532"/>
      <c r="AE3" s="532"/>
      <c r="AF3" s="532"/>
      <c r="AG3" s="533"/>
      <c r="AH3" s="520" t="str">
        <f ca="1">INDIRECT(CONCATENATE("MISC!"&amp;MISC!E1&amp;"51"))</f>
        <v>Marron foncé</v>
      </c>
      <c r="AI3" s="445"/>
      <c r="AJ3" s="445"/>
      <c r="AK3" s="445"/>
      <c r="AL3" s="445"/>
      <c r="AM3" s="445"/>
      <c r="AN3" s="521"/>
      <c r="AO3" s="353"/>
      <c r="AP3" s="354"/>
    </row>
    <row r="4" spans="1:68" ht="15.75" thickBot="1">
      <c r="A4" s="352"/>
      <c r="B4" s="435" t="s">
        <v>74</v>
      </c>
      <c r="C4" s="436"/>
      <c r="D4" s="436"/>
      <c r="E4" s="437"/>
      <c r="F4" s="426" t="str">
        <f ca="1">IF(F3="Feminin",INDIRECT(CONCATENATE("MISC!"&amp;MISC!E1&amp;"93")),INDIRECT(CONCATENATE("MISC!"&amp;MISC!E1&amp;"114")))</f>
        <v xml:space="preserve">Gabrielle </v>
      </c>
      <c r="G4" s="427"/>
      <c r="H4" s="427"/>
      <c r="I4" s="427"/>
      <c r="J4" s="427"/>
      <c r="K4" s="427"/>
      <c r="L4" s="428"/>
      <c r="M4" s="353"/>
      <c r="N4" s="353"/>
      <c r="O4" s="435" t="s">
        <v>234</v>
      </c>
      <c r="P4" s="436"/>
      <c r="Q4" s="436"/>
      <c r="R4" s="534"/>
      <c r="S4" s="526" t="str">
        <f ca="1">CONCATENATE(INDIRECT(CONCATENATE("MISC!"&amp;MISC!E1&amp;"29"))," Kg")</f>
        <v>54 Kg</v>
      </c>
      <c r="T4" s="427"/>
      <c r="U4" s="428"/>
      <c r="V4" s="353"/>
      <c r="W4" s="353"/>
      <c r="X4" s="353"/>
      <c r="Y4" s="353"/>
      <c r="Z4" s="531" t="s">
        <v>526</v>
      </c>
      <c r="AA4" s="532"/>
      <c r="AB4" s="532"/>
      <c r="AC4" s="532"/>
      <c r="AD4" s="532"/>
      <c r="AE4" s="532"/>
      <c r="AF4" s="532"/>
      <c r="AG4" s="533"/>
      <c r="AH4" s="520">
        <f ca="1">INDIRECT(CONCATENATE("MISC!"&amp;MISC!E1&amp;"8"))</f>
        <v>5</v>
      </c>
      <c r="AI4" s="445"/>
      <c r="AJ4" s="445"/>
      <c r="AK4" s="445"/>
      <c r="AL4" s="445"/>
      <c r="AM4" s="445"/>
      <c r="AN4" s="521"/>
      <c r="AO4" s="353"/>
      <c r="AP4" s="354"/>
      <c r="AQ4" s="355"/>
    </row>
    <row r="5" spans="1:68" ht="15.75" thickBot="1">
      <c r="A5" s="352"/>
      <c r="B5" s="400" t="s">
        <v>928</v>
      </c>
      <c r="C5" s="401"/>
      <c r="D5" s="401"/>
      <c r="E5" s="402"/>
      <c r="F5" s="403" t="s">
        <v>926</v>
      </c>
      <c r="G5" s="404"/>
      <c r="H5" s="404"/>
      <c r="I5" s="404"/>
      <c r="J5" s="404"/>
      <c r="K5" s="404"/>
      <c r="L5" s="405"/>
      <c r="M5" s="353"/>
      <c r="N5" s="356"/>
      <c r="O5" s="357"/>
      <c r="P5" s="357"/>
      <c r="Q5" s="357"/>
      <c r="R5" s="357"/>
      <c r="S5" s="358"/>
      <c r="T5" s="358"/>
      <c r="U5" s="358"/>
      <c r="V5" s="353"/>
      <c r="W5" s="353"/>
      <c r="X5" s="353"/>
      <c r="Y5" s="353"/>
      <c r="Z5" s="435" t="s">
        <v>99</v>
      </c>
      <c r="AA5" s="436"/>
      <c r="AB5" s="436"/>
      <c r="AC5" s="436"/>
      <c r="AD5" s="436"/>
      <c r="AE5" s="436"/>
      <c r="AF5" s="436"/>
      <c r="AG5" s="534"/>
      <c r="AH5" s="526" t="str">
        <f ca="1">MISC!A23</f>
        <v>L'Etoile du Sorcier</v>
      </c>
      <c r="AI5" s="427"/>
      <c r="AJ5" s="427"/>
      <c r="AK5" s="427"/>
      <c r="AL5" s="427"/>
      <c r="AM5" s="427"/>
      <c r="AN5" s="428"/>
      <c r="AO5" s="353"/>
      <c r="AP5" s="354"/>
      <c r="AQ5" s="355"/>
    </row>
    <row r="6" spans="1:68" ht="15.75" thickBot="1">
      <c r="A6" s="352"/>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4"/>
      <c r="AQ6" s="355"/>
    </row>
    <row r="7" spans="1:68" ht="15.75" thickBot="1">
      <c r="A7" s="352"/>
      <c r="B7" s="452" t="s">
        <v>453</v>
      </c>
      <c r="C7" s="453"/>
      <c r="D7" s="453"/>
      <c r="E7" s="453"/>
      <c r="F7" s="453"/>
      <c r="G7" s="453"/>
      <c r="H7" s="454"/>
      <c r="I7" s="452" t="s">
        <v>454</v>
      </c>
      <c r="J7" s="453"/>
      <c r="K7" s="453"/>
      <c r="L7" s="453"/>
      <c r="M7" s="453"/>
      <c r="N7" s="453"/>
      <c r="O7" s="455"/>
      <c r="P7" s="456" t="s">
        <v>927</v>
      </c>
      <c r="Q7" s="453"/>
      <c r="R7" s="453"/>
      <c r="S7" s="453"/>
      <c r="T7" s="453"/>
      <c r="U7" s="453"/>
      <c r="V7" s="455"/>
      <c r="W7" s="353"/>
      <c r="X7" s="353"/>
      <c r="Y7" s="353"/>
      <c r="Z7" s="359"/>
      <c r="AA7" s="359"/>
      <c r="AB7" s="359"/>
      <c r="AC7" s="359"/>
      <c r="AD7" s="359"/>
      <c r="AE7" s="359"/>
      <c r="AF7" s="359"/>
      <c r="AG7" s="359"/>
      <c r="AH7" s="353"/>
      <c r="AI7" s="353"/>
      <c r="AJ7" s="353"/>
      <c r="AK7" s="353"/>
      <c r="AL7" s="353"/>
      <c r="AM7" s="353"/>
      <c r="AN7" s="353"/>
      <c r="AO7" s="353"/>
      <c r="AP7" s="354"/>
      <c r="AQ7" s="355"/>
    </row>
    <row r="8" spans="1:68">
      <c r="A8" s="352"/>
      <c r="B8" s="457" t="s">
        <v>47</v>
      </c>
      <c r="C8" s="458"/>
      <c r="D8" s="458"/>
      <c r="E8" s="458"/>
      <c r="F8" s="458"/>
      <c r="G8" s="458"/>
      <c r="H8" s="459"/>
      <c r="I8" s="457" t="s">
        <v>71</v>
      </c>
      <c r="J8" s="458"/>
      <c r="K8" s="458"/>
      <c r="L8" s="458"/>
      <c r="M8" s="458"/>
      <c r="N8" s="458"/>
      <c r="O8" s="463"/>
      <c r="P8" s="465" t="s">
        <v>829</v>
      </c>
      <c r="Q8" s="458"/>
      <c r="R8" s="458"/>
      <c r="S8" s="458"/>
      <c r="T8" s="458"/>
      <c r="U8" s="458"/>
      <c r="V8" s="463"/>
      <c r="W8" s="353"/>
      <c r="X8" s="353"/>
      <c r="Y8" s="353"/>
      <c r="Z8" s="432" t="s">
        <v>396</v>
      </c>
      <c r="AA8" s="433"/>
      <c r="AB8" s="433"/>
      <c r="AC8" s="433"/>
      <c r="AD8" s="433"/>
      <c r="AE8" s="433"/>
      <c r="AF8" s="433"/>
      <c r="AG8" s="541"/>
      <c r="AH8" s="542" t="s">
        <v>460</v>
      </c>
      <c r="AI8" s="421"/>
      <c r="AJ8" s="422"/>
      <c r="AK8" s="360"/>
      <c r="AL8" s="360"/>
      <c r="AM8" s="360"/>
      <c r="AN8" s="360"/>
      <c r="AO8" s="353"/>
      <c r="AP8" s="354"/>
    </row>
    <row r="9" spans="1:68" ht="15.75" thickBot="1">
      <c r="A9" s="352"/>
      <c r="B9" s="460"/>
      <c r="C9" s="461"/>
      <c r="D9" s="461"/>
      <c r="E9" s="461"/>
      <c r="F9" s="461"/>
      <c r="G9" s="461"/>
      <c r="H9" s="462"/>
      <c r="I9" s="460"/>
      <c r="J9" s="461"/>
      <c r="K9" s="461"/>
      <c r="L9" s="461"/>
      <c r="M9" s="461"/>
      <c r="N9" s="461"/>
      <c r="O9" s="464"/>
      <c r="P9" s="466"/>
      <c r="Q9" s="461"/>
      <c r="R9" s="461"/>
      <c r="S9" s="461"/>
      <c r="T9" s="461"/>
      <c r="U9" s="461"/>
      <c r="V9" s="464"/>
      <c r="W9" s="353"/>
      <c r="X9" s="353"/>
      <c r="Y9" s="353"/>
      <c r="Z9" s="552" t="s">
        <v>461</v>
      </c>
      <c r="AA9" s="553"/>
      <c r="AB9" s="553"/>
      <c r="AC9" s="553"/>
      <c r="AD9" s="553"/>
      <c r="AE9" s="553"/>
      <c r="AF9" s="553"/>
      <c r="AG9" s="554"/>
      <c r="AH9" s="538" t="s">
        <v>926</v>
      </c>
      <c r="AI9" s="539"/>
      <c r="AJ9" s="540"/>
      <c r="AK9" s="353"/>
      <c r="AL9" s="353"/>
      <c r="AM9" s="353"/>
      <c r="AN9" s="353"/>
      <c r="AO9" s="353"/>
      <c r="AP9" s="354"/>
    </row>
    <row r="10" spans="1:68" ht="15.75" thickBot="1">
      <c r="A10" s="352"/>
      <c r="B10" s="353"/>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4"/>
    </row>
    <row r="11" spans="1:68" ht="15.75" thickBot="1">
      <c r="A11" s="352"/>
      <c r="B11" s="412"/>
      <c r="C11" s="411"/>
      <c r="D11" s="411"/>
      <c r="E11" s="411"/>
      <c r="F11" s="411"/>
      <c r="G11" s="411"/>
      <c r="H11" s="413"/>
      <c r="I11" s="451" t="s">
        <v>3</v>
      </c>
      <c r="J11" s="410"/>
      <c r="K11" s="410" t="s">
        <v>4</v>
      </c>
      <c r="L11" s="410"/>
      <c r="M11" s="410" t="s">
        <v>481</v>
      </c>
      <c r="N11" s="410"/>
      <c r="O11" s="410" t="s">
        <v>482</v>
      </c>
      <c r="P11" s="410"/>
      <c r="Q11" s="410" t="s">
        <v>7</v>
      </c>
      <c r="R11" s="410"/>
      <c r="S11" s="410" t="s">
        <v>8</v>
      </c>
      <c r="T11" s="410"/>
      <c r="U11" s="410" t="s">
        <v>9</v>
      </c>
      <c r="V11" s="410"/>
      <c r="W11" s="410" t="s">
        <v>10</v>
      </c>
      <c r="X11" s="410"/>
      <c r="Y11" s="410" t="s">
        <v>13</v>
      </c>
      <c r="Z11" s="410"/>
      <c r="AA11" s="410" t="s">
        <v>14</v>
      </c>
      <c r="AB11" s="410"/>
      <c r="AC11" s="410" t="s">
        <v>15</v>
      </c>
      <c r="AD11" s="410"/>
      <c r="AE11" s="410" t="s">
        <v>16</v>
      </c>
      <c r="AF11" s="410"/>
      <c r="AG11" s="410" t="s">
        <v>83</v>
      </c>
      <c r="AH11" s="558"/>
      <c r="AI11" s="361"/>
      <c r="AJ11" s="353"/>
      <c r="AK11" s="353"/>
      <c r="AL11" s="353"/>
      <c r="AM11" s="353"/>
      <c r="AN11" s="353"/>
      <c r="AO11" s="353"/>
      <c r="AP11" s="354"/>
    </row>
    <row r="12" spans="1:68" outlineLevel="1">
      <c r="A12" s="352"/>
      <c r="B12" s="414" t="s">
        <v>456</v>
      </c>
      <c r="C12" s="415"/>
      <c r="D12" s="415"/>
      <c r="E12" s="415"/>
      <c r="F12" s="415"/>
      <c r="G12" s="415"/>
      <c r="H12" s="416"/>
      <c r="I12" s="414">
        <f ca="1">MISC!M2</f>
        <v>20</v>
      </c>
      <c r="J12" s="415"/>
      <c r="K12" s="415">
        <f ca="1">MISC!N2</f>
        <v>20</v>
      </c>
      <c r="L12" s="415"/>
      <c r="M12" s="415">
        <f ca="1">MISC!O2</f>
        <v>20</v>
      </c>
      <c r="N12" s="415"/>
      <c r="O12" s="415">
        <f ca="1">MISC!P2</f>
        <v>20</v>
      </c>
      <c r="P12" s="415"/>
      <c r="Q12" s="415">
        <f ca="1">MISC!Q2</f>
        <v>20</v>
      </c>
      <c r="R12" s="415"/>
      <c r="S12" s="415">
        <f ca="1">MISC!R2</f>
        <v>20</v>
      </c>
      <c r="T12" s="415"/>
      <c r="U12" s="415">
        <f ca="1">MISC!S2</f>
        <v>20</v>
      </c>
      <c r="V12" s="415"/>
      <c r="W12" s="415">
        <f ca="1">MISC!T2</f>
        <v>20</v>
      </c>
      <c r="X12" s="415"/>
      <c r="Y12" s="415">
        <f ca="1">MISC!U2</f>
        <v>1</v>
      </c>
      <c r="Z12" s="415"/>
      <c r="AA12" s="415">
        <f ca="1">IF(JetManuel="oui",AA20,MISC!V2)</f>
        <v>10</v>
      </c>
      <c r="AB12" s="415"/>
      <c r="AC12" s="415">
        <f ca="1">MISC!W2</f>
        <v>4</v>
      </c>
      <c r="AD12" s="415"/>
      <c r="AE12" s="415">
        <f ca="1">MISC!X2</f>
        <v>0</v>
      </c>
      <c r="AF12" s="415"/>
      <c r="AG12" s="415">
        <f ca="1">IF(JetManuel="oui",AG20,MISC!Y2)</f>
        <v>3</v>
      </c>
      <c r="AH12" s="549"/>
      <c r="AI12" s="353"/>
      <c r="AJ12" s="353"/>
      <c r="AK12" s="353"/>
      <c r="AL12" s="353"/>
      <c r="AM12" s="353"/>
      <c r="AN12" s="353"/>
      <c r="AO12" s="353"/>
      <c r="AP12" s="354"/>
    </row>
    <row r="13" spans="1:68" outlineLevel="1">
      <c r="A13" s="352"/>
      <c r="B13" s="417" t="s">
        <v>929</v>
      </c>
      <c r="C13" s="409"/>
      <c r="D13" s="409"/>
      <c r="E13" s="409"/>
      <c r="F13" s="409"/>
      <c r="G13" s="409"/>
      <c r="H13" s="418"/>
      <c r="I13" s="417">
        <f ca="1">IF(JetManuel="oui",I20,RANDBETWEEN(1,10)+RANDBETWEEN(1,10))</f>
        <v>4</v>
      </c>
      <c r="J13" s="409"/>
      <c r="K13" s="409">
        <f ca="1">IF(JetManuel="oui",K20,RANDBETWEEN(1,10)+RANDBETWEEN(1,10))</f>
        <v>13</v>
      </c>
      <c r="L13" s="409"/>
      <c r="M13" s="409">
        <f ca="1">IF(JetManuel="oui",M20,RANDBETWEEN(1,10)+RANDBETWEEN(1,10))</f>
        <v>5</v>
      </c>
      <c r="N13" s="409"/>
      <c r="O13" s="409">
        <f ca="1">IF(JetManuel="oui",O20,RANDBETWEEN(1,10)+RANDBETWEEN(1,10))</f>
        <v>12</v>
      </c>
      <c r="P13" s="409"/>
      <c r="Q13" s="409">
        <f ca="1">IF(JetManuel="oui",Q20,RANDBETWEEN(1,10)+RANDBETWEEN(1,10))</f>
        <v>13</v>
      </c>
      <c r="R13" s="409"/>
      <c r="S13" s="409">
        <f ca="1">IF(JetManuel="oui",S20,RANDBETWEEN(1,10)+RANDBETWEEN(1,10))</f>
        <v>10</v>
      </c>
      <c r="T13" s="409"/>
      <c r="U13" s="409">
        <f ca="1">IF(JetManuel="oui",U20,RANDBETWEEN(1,10)+RANDBETWEEN(1,10))</f>
        <v>12</v>
      </c>
      <c r="V13" s="409"/>
      <c r="W13" s="409">
        <f ca="1">IF(JetManuel="oui",W20,RANDBETWEEN(1,10)+RANDBETWEEN(1,10))</f>
        <v>14</v>
      </c>
      <c r="X13" s="409"/>
      <c r="Y13" s="409">
        <v>0</v>
      </c>
      <c r="Z13" s="409"/>
      <c r="AA13" s="409">
        <v>0</v>
      </c>
      <c r="AB13" s="409"/>
      <c r="AC13" s="409">
        <v>0</v>
      </c>
      <c r="AD13" s="409"/>
      <c r="AE13" s="409">
        <v>0</v>
      </c>
      <c r="AF13" s="409"/>
      <c r="AG13" s="409">
        <v>0</v>
      </c>
      <c r="AH13" s="550"/>
      <c r="AI13" s="353"/>
      <c r="AJ13" s="353"/>
      <c r="AK13" s="353"/>
      <c r="AL13" s="353"/>
      <c r="AM13" s="353"/>
      <c r="AN13" s="353"/>
      <c r="AO13" s="353"/>
      <c r="AP13" s="354"/>
    </row>
    <row r="14" spans="1:68" ht="15.75" outlineLevel="1" thickBot="1">
      <c r="A14" s="352"/>
      <c r="B14" s="429" t="s">
        <v>398</v>
      </c>
      <c r="C14" s="430"/>
      <c r="D14" s="430"/>
      <c r="E14" s="430"/>
      <c r="F14" s="430"/>
      <c r="G14" s="430"/>
      <c r="H14" s="431"/>
      <c r="I14" s="419">
        <f ca="1">COUNTIF($S$24,"*Guerrier né*")*5</f>
        <v>5</v>
      </c>
      <c r="J14" s="408"/>
      <c r="K14" s="408">
        <f ca="1">COUNTIF($S$24,"*Tireur d'élite*")*5</f>
        <v>0</v>
      </c>
      <c r="L14" s="408"/>
      <c r="M14" s="408">
        <f ca="1">COUNTIF($S$24,"*Force accrue*")*5</f>
        <v>0</v>
      </c>
      <c r="N14" s="408"/>
      <c r="O14" s="408">
        <f ca="1">COUNTIF($S$24,"*Résistance accrue*")*5</f>
        <v>5</v>
      </c>
      <c r="P14" s="408"/>
      <c r="Q14" s="408">
        <f ca="1">COUNTIF($S$24,"*Réflexe éclair*")*5</f>
        <v>0</v>
      </c>
      <c r="R14" s="408"/>
      <c r="S14" s="408">
        <f ca="1">COUNTIF($S$24,"*Intelligent*")*5</f>
        <v>0</v>
      </c>
      <c r="T14" s="408"/>
      <c r="U14" s="408">
        <f ca="1">COUNTIF($S$24,"*Sang froid*")*5</f>
        <v>5</v>
      </c>
      <c r="V14" s="408"/>
      <c r="W14" s="408">
        <f ca="1">COUNTIF($S$24,"*Sociable*")*5</f>
        <v>5</v>
      </c>
      <c r="X14" s="408"/>
      <c r="Y14" s="408">
        <v>0</v>
      </c>
      <c r="Z14" s="408"/>
      <c r="AA14" s="408">
        <f ca="1">COUNTIF($S$24,"*Dur à cuir*")</f>
        <v>1</v>
      </c>
      <c r="AB14" s="408"/>
      <c r="AC14" s="408">
        <f ca="1">COUNTIF($S$24,"*Course à pied*")</f>
        <v>0</v>
      </c>
      <c r="AD14" s="408"/>
      <c r="AE14" s="408">
        <v>0</v>
      </c>
      <c r="AF14" s="408"/>
      <c r="AG14" s="408">
        <v>0</v>
      </c>
      <c r="AH14" s="551"/>
      <c r="AI14" s="353"/>
      <c r="AJ14" s="353"/>
      <c r="AK14" s="353"/>
      <c r="AL14" s="353"/>
      <c r="AM14" s="353"/>
      <c r="AN14" s="353"/>
      <c r="AO14" s="353"/>
      <c r="AP14" s="354"/>
    </row>
    <row r="15" spans="1:68" ht="15.75" thickBot="1">
      <c r="A15" s="352"/>
      <c r="B15" s="412" t="s">
        <v>455</v>
      </c>
      <c r="C15" s="411"/>
      <c r="D15" s="411"/>
      <c r="E15" s="411"/>
      <c r="F15" s="411"/>
      <c r="G15" s="411"/>
      <c r="H15" s="413"/>
      <c r="I15" s="412">
        <f ca="1">SUM(I12:J14)</f>
        <v>29</v>
      </c>
      <c r="J15" s="411"/>
      <c r="K15" s="411">
        <f ca="1">SUM(K12:L14)</f>
        <v>33</v>
      </c>
      <c r="L15" s="411"/>
      <c r="M15" s="411">
        <f ca="1">SUM(M12:N14)</f>
        <v>25</v>
      </c>
      <c r="N15" s="411"/>
      <c r="O15" s="411">
        <f ca="1">SUM(O12:P14)</f>
        <v>37</v>
      </c>
      <c r="P15" s="411"/>
      <c r="Q15" s="411">
        <f ca="1">SUM(Q12:R14)</f>
        <v>33</v>
      </c>
      <c r="R15" s="411"/>
      <c r="S15" s="411">
        <f ca="1">SUM(S12:T14)</f>
        <v>30</v>
      </c>
      <c r="T15" s="411"/>
      <c r="U15" s="411">
        <f ca="1">SUM(U12:V14)</f>
        <v>37</v>
      </c>
      <c r="V15" s="411"/>
      <c r="W15" s="411">
        <f ca="1">SUM(W12:X14)</f>
        <v>39</v>
      </c>
      <c r="X15" s="411"/>
      <c r="Y15" s="411">
        <f ca="1">SUM(Y12:Z14)</f>
        <v>1</v>
      </c>
      <c r="Z15" s="411"/>
      <c r="AA15" s="411">
        <f ca="1">SUM(AA12:AB14)</f>
        <v>11</v>
      </c>
      <c r="AB15" s="411"/>
      <c r="AC15" s="411">
        <f ca="1">SUM(AC12:AD14)</f>
        <v>4</v>
      </c>
      <c r="AD15" s="411"/>
      <c r="AE15" s="411">
        <f ca="1">SUM(AE12:AF14)</f>
        <v>0</v>
      </c>
      <c r="AF15" s="411"/>
      <c r="AG15" s="411">
        <f ca="1">SUM(AG12:AH14)</f>
        <v>3</v>
      </c>
      <c r="AH15" s="555"/>
      <c r="AI15" s="353"/>
      <c r="AJ15" s="546" t="str">
        <f ca="1">IF(AJ16&gt;1,"Points de Fortune","Point de Fortune")</f>
        <v>Points de Fortune</v>
      </c>
      <c r="AK15" s="547"/>
      <c r="AL15" s="547"/>
      <c r="AM15" s="547"/>
      <c r="AN15" s="547"/>
      <c r="AO15" s="548"/>
      <c r="AP15" s="354"/>
    </row>
    <row r="16" spans="1:68" ht="15.75" thickBot="1">
      <c r="A16" s="352"/>
      <c r="B16" s="446" t="str">
        <f>Carriere1</f>
        <v>marin</v>
      </c>
      <c r="C16" s="447"/>
      <c r="D16" s="447"/>
      <c r="E16" s="447"/>
      <c r="F16" s="447"/>
      <c r="G16" s="447"/>
      <c r="H16" s="444"/>
      <c r="I16" s="442">
        <f>Combo!C2</f>
        <v>10</v>
      </c>
      <c r="J16" s="443"/>
      <c r="K16" s="444">
        <f>Combo!C3</f>
        <v>5</v>
      </c>
      <c r="L16" s="443"/>
      <c r="M16" s="444">
        <f>Combo!C4</f>
        <v>10</v>
      </c>
      <c r="N16" s="443"/>
      <c r="O16" s="444">
        <f>Combo!C5</f>
        <v>0</v>
      </c>
      <c r="P16" s="443"/>
      <c r="Q16" s="444">
        <f>Combo!C6</f>
        <v>10</v>
      </c>
      <c r="R16" s="443"/>
      <c r="S16" s="444">
        <f>Combo!C7</f>
        <v>0</v>
      </c>
      <c r="T16" s="443"/>
      <c r="U16" s="444">
        <f>Combo!C8</f>
        <v>0</v>
      </c>
      <c r="V16" s="443"/>
      <c r="W16" s="444">
        <f>Combo!C9</f>
        <v>0</v>
      </c>
      <c r="X16" s="443"/>
      <c r="Y16" s="444">
        <f>Combo!C10</f>
        <v>1</v>
      </c>
      <c r="Z16" s="443"/>
      <c r="AA16" s="444">
        <f>Combo!C11</f>
        <v>2</v>
      </c>
      <c r="AB16" s="443"/>
      <c r="AC16" s="444">
        <f>Combo!C12</f>
        <v>0</v>
      </c>
      <c r="AD16" s="443"/>
      <c r="AE16" s="444">
        <f>Combo!C13</f>
        <v>0</v>
      </c>
      <c r="AF16" s="443"/>
      <c r="AG16" s="444"/>
      <c r="AH16" s="556"/>
      <c r="AI16" s="353"/>
      <c r="AJ16" s="426">
        <f ca="1">AG19+COUNTIF(S24,"*Chance*")</f>
        <v>3</v>
      </c>
      <c r="AK16" s="427"/>
      <c r="AL16" s="427"/>
      <c r="AM16" s="427"/>
      <c r="AN16" s="427"/>
      <c r="AO16" s="428"/>
      <c r="AP16" s="354"/>
      <c r="AQ16" s="360"/>
      <c r="AR16" s="360"/>
      <c r="AS16" s="360"/>
      <c r="AT16" s="360"/>
      <c r="AU16" s="360"/>
      <c r="AV16" s="360"/>
      <c r="AW16" s="360"/>
      <c r="AX16" s="360"/>
      <c r="AY16" s="360"/>
      <c r="AZ16" s="360"/>
      <c r="BA16" s="360"/>
      <c r="BB16" s="360"/>
      <c r="BC16" s="360"/>
      <c r="BD16" s="360"/>
      <c r="BE16" s="360"/>
      <c r="BF16" s="360"/>
      <c r="BG16" s="360"/>
      <c r="BH16" s="360"/>
      <c r="BI16" s="360"/>
      <c r="BJ16" s="360"/>
      <c r="BK16" s="360"/>
      <c r="BL16" s="360"/>
      <c r="BM16" s="360"/>
      <c r="BN16" s="360"/>
      <c r="BO16" s="360"/>
      <c r="BP16" s="360"/>
    </row>
    <row r="17" spans="1:42" ht="15.75" thickBot="1">
      <c r="A17" s="352"/>
      <c r="B17" s="448" t="str">
        <f>Carriere2</f>
        <v>valet</v>
      </c>
      <c r="C17" s="445"/>
      <c r="D17" s="445"/>
      <c r="E17" s="445"/>
      <c r="F17" s="445"/>
      <c r="G17" s="445"/>
      <c r="H17" s="449"/>
      <c r="I17" s="448">
        <f>Combo!D2</f>
        <v>0</v>
      </c>
      <c r="J17" s="445"/>
      <c r="K17" s="445">
        <f>Combo!D3</f>
        <v>0</v>
      </c>
      <c r="L17" s="445"/>
      <c r="M17" s="445">
        <f>Combo!D4</f>
        <v>0</v>
      </c>
      <c r="N17" s="445"/>
      <c r="O17" s="445">
        <f>Combo!D5</f>
        <v>0</v>
      </c>
      <c r="P17" s="445"/>
      <c r="Q17" s="445">
        <f>Combo!D6</f>
        <v>10</v>
      </c>
      <c r="R17" s="445"/>
      <c r="S17" s="445">
        <f>Combo!D7</f>
        <v>10</v>
      </c>
      <c r="T17" s="445"/>
      <c r="U17" s="445">
        <f>Combo!D8</f>
        <v>5</v>
      </c>
      <c r="V17" s="445"/>
      <c r="W17" s="445">
        <f>Combo!D9</f>
        <v>10</v>
      </c>
      <c r="X17" s="445"/>
      <c r="Y17" s="445">
        <f>Combo!D10</f>
        <v>0</v>
      </c>
      <c r="Z17" s="445"/>
      <c r="AA17" s="445">
        <f>Combo!D11</f>
        <v>2</v>
      </c>
      <c r="AB17" s="445"/>
      <c r="AC17" s="445">
        <f>Combo!D12</f>
        <v>0</v>
      </c>
      <c r="AD17" s="445"/>
      <c r="AE17" s="445">
        <f>Combo!D13</f>
        <v>0</v>
      </c>
      <c r="AF17" s="445"/>
      <c r="AG17" s="445"/>
      <c r="AH17" s="521"/>
      <c r="AI17" s="353"/>
      <c r="AJ17" s="353"/>
      <c r="AK17" s="353"/>
      <c r="AL17" s="353"/>
      <c r="AM17" s="353"/>
      <c r="AN17" s="353"/>
      <c r="AO17" s="353"/>
      <c r="AP17" s="354"/>
    </row>
    <row r="18" spans="1:42" ht="15.75" thickBot="1">
      <c r="A18" s="352"/>
      <c r="B18" s="426" t="str">
        <f>Carriere3</f>
        <v>chiffonnier</v>
      </c>
      <c r="C18" s="427"/>
      <c r="D18" s="427"/>
      <c r="E18" s="427"/>
      <c r="F18" s="427"/>
      <c r="G18" s="427"/>
      <c r="H18" s="450"/>
      <c r="I18" s="426">
        <f>Combo!E2</f>
        <v>5</v>
      </c>
      <c r="J18" s="427"/>
      <c r="K18" s="427">
        <f>Combo!E3</f>
        <v>0</v>
      </c>
      <c r="L18" s="427"/>
      <c r="M18" s="427">
        <f>Combo!E4</f>
        <v>5</v>
      </c>
      <c r="N18" s="427"/>
      <c r="O18" s="427">
        <f>Combo!E5</f>
        <v>10</v>
      </c>
      <c r="P18" s="427"/>
      <c r="Q18" s="427">
        <f>Combo!E6</f>
        <v>5</v>
      </c>
      <c r="R18" s="427"/>
      <c r="S18" s="427">
        <f>Combo!E7</f>
        <v>0</v>
      </c>
      <c r="T18" s="427"/>
      <c r="U18" s="427">
        <f>Combo!E8</f>
        <v>5</v>
      </c>
      <c r="V18" s="427"/>
      <c r="W18" s="427">
        <f>Combo!E9</f>
        <v>5</v>
      </c>
      <c r="X18" s="427"/>
      <c r="Y18" s="427">
        <f>Combo!E10</f>
        <v>0</v>
      </c>
      <c r="Z18" s="427"/>
      <c r="AA18" s="427">
        <f>Combo!E11</f>
        <v>2</v>
      </c>
      <c r="AB18" s="427"/>
      <c r="AC18" s="427">
        <f>Combo!E12</f>
        <v>0</v>
      </c>
      <c r="AD18" s="427"/>
      <c r="AE18" s="427">
        <f>Combo!E13</f>
        <v>0</v>
      </c>
      <c r="AF18" s="427"/>
      <c r="AG18" s="427"/>
      <c r="AH18" s="428"/>
      <c r="AI18" s="353"/>
      <c r="AJ18" s="546" t="s">
        <v>535</v>
      </c>
      <c r="AK18" s="547"/>
      <c r="AL18" s="547"/>
      <c r="AM18" s="547"/>
      <c r="AN18" s="547"/>
      <c r="AO18" s="548"/>
      <c r="AP18" s="354"/>
    </row>
    <row r="19" spans="1:42" ht="15.75" thickBot="1">
      <c r="A19" s="352"/>
      <c r="B19" s="473" t="s">
        <v>852</v>
      </c>
      <c r="C19" s="474"/>
      <c r="D19" s="474"/>
      <c r="E19" s="474"/>
      <c r="F19" s="474"/>
      <c r="G19" s="474"/>
      <c r="H19" s="475"/>
      <c r="I19" s="467">
        <f ca="1">I15+IF(NbCarriere&gt;0,MAX(I16:INDIRECT("i"&amp;ZoneCarac)),0)</f>
        <v>39</v>
      </c>
      <c r="J19" s="468"/>
      <c r="K19" s="467">
        <f ca="1">K15+IF(NbCarriere&gt;0,MAX(K16:INDIRECT("k"&amp;ZoneCarac)),0)</f>
        <v>38</v>
      </c>
      <c r="L19" s="468"/>
      <c r="M19" s="467">
        <f ca="1">M15+IF(NbCarriere&gt;0,MAX(M16:INDIRECT("m"&amp;ZoneCarac)),0)</f>
        <v>35</v>
      </c>
      <c r="N19" s="468"/>
      <c r="O19" s="467">
        <f ca="1">O15+IF(NbCarriere&gt;0,MAX(O16:INDIRECT("o"&amp;ZoneCarac)),0)</f>
        <v>47</v>
      </c>
      <c r="P19" s="468"/>
      <c r="Q19" s="467">
        <f ca="1">Q15+IF(NbCarriere&gt;0,MAX(Q16:INDIRECT("q"&amp;ZoneCarac)),0)</f>
        <v>43</v>
      </c>
      <c r="R19" s="468"/>
      <c r="S19" s="467">
        <f ca="1">S15+IF(NbCarriere&gt;0,MAX(S16:INDIRECT("s"&amp;ZoneCarac)),0)</f>
        <v>40</v>
      </c>
      <c r="T19" s="468"/>
      <c r="U19" s="467">
        <f ca="1">U15+IF(NbCarriere&gt;0,MAX(U16:INDIRECT("u"&amp;ZoneCarac)),0)</f>
        <v>42</v>
      </c>
      <c r="V19" s="468"/>
      <c r="W19" s="467">
        <f ca="1">W15+IF(NbCarriere&gt;0,MAX(W16:INDIRECT("w"&amp;ZoneCarac)),0)</f>
        <v>49</v>
      </c>
      <c r="X19" s="468"/>
      <c r="Y19" s="467">
        <f ca="1">Y15+IF(NbCarriere&gt;0,MAX(Y16:INDIRECT("y"&amp;ZoneCarac)),0)</f>
        <v>2</v>
      </c>
      <c r="Z19" s="468"/>
      <c r="AA19" s="467">
        <f ca="1">AA15+IF(NbCarriere&gt;0,MAX(AA16:INDIRECT("aa"&amp;ZoneCarac)),0)</f>
        <v>13</v>
      </c>
      <c r="AB19" s="468"/>
      <c r="AC19" s="467">
        <f ca="1">AC15+IF(NbCarriere&gt;0,MAX(AC16:INDIRECT("ac"&amp;ZoneCarac)),0)</f>
        <v>4</v>
      </c>
      <c r="AD19" s="468"/>
      <c r="AE19" s="467">
        <f ca="1">AE15+IF(NbCarriere&gt;0,MAX(AE16:INDIRECT("ae"&amp;ZoneCarac)),0)</f>
        <v>0</v>
      </c>
      <c r="AF19" s="468"/>
      <c r="AG19" s="467">
        <f ca="1">AG15+IF(NbCarriere&gt;0,MAX(AG16:INDIRECT("ag"&amp;ZoneCarac)),0)</f>
        <v>3</v>
      </c>
      <c r="AH19" s="557"/>
      <c r="AI19" s="353"/>
      <c r="AJ19" s="426">
        <f ca="1">(SUM(I19:X19)-SUM(I15:X15))*20+(SUM(Y19:AF19)-SUM(Y15:AF15))*100+((171-COUNTIF(Experience," "))*100)</f>
        <v>6200</v>
      </c>
      <c r="AK19" s="427"/>
      <c r="AL19" s="427"/>
      <c r="AM19" s="427"/>
      <c r="AN19" s="427"/>
      <c r="AO19" s="428"/>
      <c r="AP19" s="354"/>
    </row>
    <row r="20" spans="1:42" ht="15.75" thickBot="1">
      <c r="A20" s="352"/>
      <c r="B20" s="596" t="s">
        <v>930</v>
      </c>
      <c r="C20" s="597"/>
      <c r="D20" s="597"/>
      <c r="E20" s="597"/>
      <c r="F20" s="597"/>
      <c r="G20" s="597"/>
      <c r="H20" s="598"/>
      <c r="I20" s="441">
        <v>15</v>
      </c>
      <c r="J20" s="406"/>
      <c r="K20" s="406">
        <v>11</v>
      </c>
      <c r="L20" s="406"/>
      <c r="M20" s="406">
        <v>11</v>
      </c>
      <c r="N20" s="406"/>
      <c r="O20" s="406">
        <v>11</v>
      </c>
      <c r="P20" s="406"/>
      <c r="Q20" s="406">
        <v>11</v>
      </c>
      <c r="R20" s="406"/>
      <c r="S20" s="406">
        <v>11</v>
      </c>
      <c r="T20" s="406"/>
      <c r="U20" s="406">
        <v>11</v>
      </c>
      <c r="V20" s="406"/>
      <c r="W20" s="406">
        <v>11</v>
      </c>
      <c r="X20" s="406"/>
      <c r="Y20" s="407"/>
      <c r="Z20" s="407"/>
      <c r="AA20" s="536">
        <v>11</v>
      </c>
      <c r="AB20" s="536"/>
      <c r="AC20" s="535"/>
      <c r="AD20" s="535"/>
      <c r="AE20" s="535"/>
      <c r="AF20" s="535"/>
      <c r="AG20" s="536">
        <v>1</v>
      </c>
      <c r="AH20" s="537"/>
      <c r="AI20" s="353"/>
      <c r="AJ20" s="353"/>
      <c r="AK20" s="353"/>
      <c r="AL20" s="353"/>
      <c r="AM20" s="353"/>
      <c r="AN20" s="353"/>
      <c r="AO20" s="353"/>
      <c r="AP20" s="354"/>
    </row>
    <row r="21" spans="1:42" ht="18.75" customHeight="1" thickBot="1">
      <c r="A21" s="352"/>
      <c r="B21" s="363"/>
      <c r="C21" s="363"/>
      <c r="D21" s="363"/>
      <c r="E21" s="363"/>
      <c r="F21" s="363"/>
      <c r="G21" s="363"/>
      <c r="H21" s="363"/>
      <c r="I21" s="362"/>
      <c r="J21" s="362"/>
      <c r="K21" s="362"/>
      <c r="L21" s="362"/>
      <c r="M21" s="362"/>
      <c r="N21" s="362"/>
      <c r="O21" s="362"/>
      <c r="P21" s="362"/>
      <c r="Q21" s="362"/>
      <c r="R21" s="362"/>
      <c r="S21" s="362"/>
      <c r="T21" s="362"/>
      <c r="U21" s="362"/>
      <c r="V21" s="362"/>
      <c r="W21" s="362"/>
      <c r="X21" s="362"/>
      <c r="Y21" s="362"/>
      <c r="Z21" s="362"/>
      <c r="AA21" s="363"/>
      <c r="AB21" s="363"/>
      <c r="AC21" s="363"/>
      <c r="AD21" s="363"/>
      <c r="AE21" s="363"/>
      <c r="AF21" s="363"/>
      <c r="AG21" s="363"/>
      <c r="AH21" s="363"/>
      <c r="AI21" s="353"/>
      <c r="AJ21" s="353"/>
      <c r="AK21" s="353"/>
      <c r="AL21" s="353"/>
      <c r="AM21" s="353"/>
      <c r="AN21" s="353"/>
      <c r="AO21" s="353"/>
      <c r="AP21" s="354"/>
    </row>
    <row r="22" spans="1:42" ht="24" customHeight="1" collapsed="1" thickBot="1">
      <c r="A22" s="352"/>
      <c r="B22" s="353"/>
      <c r="C22" s="353"/>
      <c r="D22" s="353"/>
      <c r="E22" s="353"/>
      <c r="F22" s="353"/>
      <c r="G22" s="353"/>
      <c r="H22" s="353"/>
      <c r="I22" s="498" t="s">
        <v>457</v>
      </c>
      <c r="J22" s="499"/>
      <c r="K22" s="469" t="s">
        <v>98</v>
      </c>
      <c r="L22" s="493">
        <v>0.1</v>
      </c>
      <c r="M22" s="493">
        <v>0.2</v>
      </c>
      <c r="N22" s="495" t="s">
        <v>398</v>
      </c>
      <c r="O22" s="496"/>
      <c r="P22" s="498" t="s">
        <v>82</v>
      </c>
      <c r="Q22" s="499"/>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4"/>
    </row>
    <row r="23" spans="1:42" ht="15.75" thickBot="1">
      <c r="A23" s="352"/>
      <c r="B23" s="471" t="s">
        <v>536</v>
      </c>
      <c r="C23" s="472"/>
      <c r="D23" s="472"/>
      <c r="E23" s="472"/>
      <c r="F23" s="472"/>
      <c r="G23" s="472"/>
      <c r="H23" s="472"/>
      <c r="I23" s="500"/>
      <c r="J23" s="501"/>
      <c r="K23" s="470"/>
      <c r="L23" s="494"/>
      <c r="M23" s="494"/>
      <c r="N23" s="494"/>
      <c r="O23" s="497"/>
      <c r="P23" s="500"/>
      <c r="Q23" s="501"/>
      <c r="R23" s="353"/>
      <c r="S23" s="559" t="s">
        <v>2</v>
      </c>
      <c r="T23" s="560"/>
      <c r="U23" s="560"/>
      <c r="V23" s="560"/>
      <c r="W23" s="560"/>
      <c r="X23" s="560"/>
      <c r="Y23" s="560"/>
      <c r="Z23" s="560"/>
      <c r="AA23" s="560"/>
      <c r="AB23" s="561"/>
      <c r="AC23" s="353"/>
      <c r="AD23" s="543" t="s">
        <v>534</v>
      </c>
      <c r="AE23" s="544"/>
      <c r="AF23" s="544"/>
      <c r="AG23" s="544"/>
      <c r="AH23" s="544"/>
      <c r="AI23" s="544"/>
      <c r="AJ23" s="544"/>
      <c r="AK23" s="544"/>
      <c r="AL23" s="544"/>
      <c r="AM23" s="544"/>
      <c r="AN23" s="544"/>
      <c r="AO23" s="545"/>
      <c r="AP23" s="354"/>
    </row>
    <row r="24" spans="1:42" ht="18" customHeight="1">
      <c r="A24" s="352"/>
      <c r="B24" s="446" t="s">
        <v>462</v>
      </c>
      <c r="C24" s="447"/>
      <c r="D24" s="447"/>
      <c r="E24" s="447"/>
      <c r="F24" s="447"/>
      <c r="G24" s="447"/>
      <c r="H24" s="444"/>
      <c r="I24" s="446" t="s">
        <v>5</v>
      </c>
      <c r="J24" s="444"/>
      <c r="K24" s="364" t="str">
        <f t="shared" ref="K24:K43" si="0">IF(COUNTIF(CompetenceBaseBrute,B24)&gt;0,"X","")</f>
        <v>X</v>
      </c>
      <c r="L24" s="365" t="str">
        <f t="shared" ref="L24:L43" si="1">IF(COUNTIF(CompetenceBaseBrute,B24)&gt;1,"X","")</f>
        <v/>
      </c>
      <c r="M24" s="365" t="str">
        <f t="shared" ref="M24:M43" si="2">IF(COUNTIF(CompetenceBaseBrute,B24)&gt;2,"X","")</f>
        <v/>
      </c>
      <c r="N24" s="476"/>
      <c r="O24" s="477"/>
      <c r="P24" s="478">
        <f ca="1">IF(I24="",0,IF(K24="X",LOOKUP(I24,MISC!$AB$1:$AJ$1,MISC!$AB$2:$AJ$2),LOOKUP(I24,MISC!$AB$1:$AJ$1,MISC!$AB$2:$AJ$2)*0.5))+IF(M24="X",20,IF(L24="X",10,0))+N24</f>
        <v>35</v>
      </c>
      <c r="Q24" s="479"/>
      <c r="R24" s="353"/>
      <c r="S24" s="484" t="str">
        <f ca="1">TalentFinal</f>
        <v>Guerrier né
Résistance accrue 
Combat de rue
Dur à cuir
Combat virevoltant
Coup puissant 
Grand voyageur
Dur en affaires
Etiquette
Sang froid 
Sociable 
Code de la rue 
Résistance aux maladies</v>
      </c>
      <c r="T24" s="485"/>
      <c r="U24" s="485"/>
      <c r="V24" s="485"/>
      <c r="W24" s="485"/>
      <c r="X24" s="485"/>
      <c r="Y24" s="485"/>
      <c r="Z24" s="485"/>
      <c r="AA24" s="485"/>
      <c r="AB24" s="486"/>
      <c r="AC24" s="353"/>
      <c r="AD24" s="599" t="str">
        <f ca="1">'C&amp;T&amp;E'!T91</f>
        <v>Gilet de cuir
Bouteille d'alcool fort
Parfum
Beaux atours
Uniforme
Carriole
Besaces (3)</v>
      </c>
      <c r="AE24" s="600"/>
      <c r="AF24" s="600"/>
      <c r="AG24" s="600"/>
      <c r="AH24" s="600"/>
      <c r="AI24" s="600"/>
      <c r="AJ24" s="600"/>
      <c r="AK24" s="600"/>
      <c r="AL24" s="600"/>
      <c r="AM24" s="600"/>
      <c r="AN24" s="600"/>
      <c r="AO24" s="601"/>
      <c r="AP24" s="354"/>
    </row>
    <row r="25" spans="1:42" ht="18">
      <c r="A25" s="352"/>
      <c r="B25" s="448" t="s">
        <v>463</v>
      </c>
      <c r="C25" s="445"/>
      <c r="D25" s="445"/>
      <c r="E25" s="445"/>
      <c r="F25" s="445"/>
      <c r="G25" s="445"/>
      <c r="H25" s="449"/>
      <c r="I25" s="448" t="s">
        <v>10</v>
      </c>
      <c r="J25" s="449"/>
      <c r="K25" s="366" t="str">
        <f t="shared" si="0"/>
        <v>X</v>
      </c>
      <c r="L25" s="367" t="str">
        <f t="shared" si="1"/>
        <v/>
      </c>
      <c r="M25" s="367" t="str">
        <f t="shared" si="2"/>
        <v/>
      </c>
      <c r="N25" s="482"/>
      <c r="O25" s="483"/>
      <c r="P25" s="480">
        <f ca="1">IF(I25="",0,IF(K25="X",LOOKUP(I25,MISC!$AB$1:$AJ$1,MISC!$AB$2:$AJ$2),LOOKUP(I25,MISC!$AB$1:$AJ$1,MISC!$AB$2:$AJ$2)*0.5))+IF(M25="X",20,IF(L25="X",10,0))+N25</f>
        <v>49</v>
      </c>
      <c r="Q25" s="481"/>
      <c r="R25" s="353"/>
      <c r="S25" s="487"/>
      <c r="T25" s="488"/>
      <c r="U25" s="488"/>
      <c r="V25" s="488"/>
      <c r="W25" s="488"/>
      <c r="X25" s="488"/>
      <c r="Y25" s="488"/>
      <c r="Z25" s="488"/>
      <c r="AA25" s="488"/>
      <c r="AB25" s="489"/>
      <c r="AC25" s="353"/>
      <c r="AD25" s="602"/>
      <c r="AE25" s="603"/>
      <c r="AF25" s="603"/>
      <c r="AG25" s="603"/>
      <c r="AH25" s="603"/>
      <c r="AI25" s="603"/>
      <c r="AJ25" s="603"/>
      <c r="AK25" s="603"/>
      <c r="AL25" s="603"/>
      <c r="AM25" s="603"/>
      <c r="AN25" s="603"/>
      <c r="AO25" s="604"/>
      <c r="AP25" s="354"/>
    </row>
    <row r="26" spans="1:42" ht="18">
      <c r="A26" s="352"/>
      <c r="B26" s="448" t="s">
        <v>464</v>
      </c>
      <c r="C26" s="445"/>
      <c r="D26" s="445"/>
      <c r="E26" s="445"/>
      <c r="F26" s="445"/>
      <c r="G26" s="445"/>
      <c r="H26" s="449"/>
      <c r="I26" s="448" t="s">
        <v>10</v>
      </c>
      <c r="J26" s="449"/>
      <c r="K26" s="366" t="str">
        <f t="shared" si="0"/>
        <v/>
      </c>
      <c r="L26" s="367" t="str">
        <f t="shared" si="1"/>
        <v/>
      </c>
      <c r="M26" s="367" t="str">
        <f t="shared" si="2"/>
        <v/>
      </c>
      <c r="N26" s="482"/>
      <c r="O26" s="483"/>
      <c r="P26" s="480">
        <f ca="1">IF(I26="",0,IF(K26="X",LOOKUP(I26,MISC!$AB$1:$AJ$1,MISC!$AB$2:$AJ$2),LOOKUP(I26,MISC!$AB$1:$AJ$1,MISC!$AB$2:$AJ$2)*0.5))+IF(M26="X",20,IF(L26="X",10,0))+N26</f>
        <v>24.5</v>
      </c>
      <c r="Q26" s="481"/>
      <c r="R26" s="353"/>
      <c r="S26" s="487"/>
      <c r="T26" s="488"/>
      <c r="U26" s="488"/>
      <c r="V26" s="488"/>
      <c r="W26" s="488"/>
      <c r="X26" s="488"/>
      <c r="Y26" s="488"/>
      <c r="Z26" s="488"/>
      <c r="AA26" s="488"/>
      <c r="AB26" s="489"/>
      <c r="AC26" s="353"/>
      <c r="AD26" s="602"/>
      <c r="AE26" s="603"/>
      <c r="AF26" s="603"/>
      <c r="AG26" s="603"/>
      <c r="AH26" s="603"/>
      <c r="AI26" s="603"/>
      <c r="AJ26" s="603"/>
      <c r="AK26" s="603"/>
      <c r="AL26" s="603"/>
      <c r="AM26" s="603"/>
      <c r="AN26" s="603"/>
      <c r="AO26" s="604"/>
      <c r="AP26" s="354"/>
    </row>
    <row r="27" spans="1:42" ht="18">
      <c r="A27" s="352"/>
      <c r="B27" s="448" t="s">
        <v>826</v>
      </c>
      <c r="C27" s="445"/>
      <c r="D27" s="445"/>
      <c r="E27" s="445"/>
      <c r="F27" s="445"/>
      <c r="G27" s="445"/>
      <c r="H27" s="449"/>
      <c r="I27" s="448" t="s">
        <v>10</v>
      </c>
      <c r="J27" s="449"/>
      <c r="K27" s="366" t="str">
        <f t="shared" si="0"/>
        <v>X</v>
      </c>
      <c r="L27" s="367" t="str">
        <f>IF(COUNTIF(CompetenceBaseBrute,B27)&gt;1,"X","")</f>
        <v>X</v>
      </c>
      <c r="M27" s="367" t="str">
        <f t="shared" si="2"/>
        <v>X</v>
      </c>
      <c r="N27" s="482"/>
      <c r="O27" s="483"/>
      <c r="P27" s="480">
        <f ca="1">IF(I27="",0,IF(K27="X",LOOKUP(I27,MISC!$AB$1:$AJ$1,MISC!$AB$2:$AJ$2),LOOKUP(I27,MISC!$AB$1:$AJ$1,MISC!$AB$2:$AJ$2)*0.5))+IF(M27="X",20,IF(L27="X",10,0))+N27</f>
        <v>69</v>
      </c>
      <c r="Q27" s="481"/>
      <c r="R27" s="353"/>
      <c r="S27" s="487"/>
      <c r="T27" s="488"/>
      <c r="U27" s="488"/>
      <c r="V27" s="488"/>
      <c r="W27" s="488"/>
      <c r="X27" s="488"/>
      <c r="Y27" s="488"/>
      <c r="Z27" s="488"/>
      <c r="AA27" s="488"/>
      <c r="AB27" s="489"/>
      <c r="AC27" s="353"/>
      <c r="AD27" s="602"/>
      <c r="AE27" s="603"/>
      <c r="AF27" s="603"/>
      <c r="AG27" s="603"/>
      <c r="AH27" s="603"/>
      <c r="AI27" s="603"/>
      <c r="AJ27" s="603"/>
      <c r="AK27" s="603"/>
      <c r="AL27" s="603"/>
      <c r="AM27" s="603"/>
      <c r="AN27" s="603"/>
      <c r="AO27" s="604"/>
      <c r="AP27" s="354"/>
    </row>
    <row r="28" spans="1:42" ht="18">
      <c r="A28" s="352"/>
      <c r="B28" s="448" t="s">
        <v>465</v>
      </c>
      <c r="C28" s="445"/>
      <c r="D28" s="445"/>
      <c r="E28" s="445"/>
      <c r="F28" s="445"/>
      <c r="G28" s="445"/>
      <c r="H28" s="449"/>
      <c r="I28" s="448" t="s">
        <v>5</v>
      </c>
      <c r="J28" s="449"/>
      <c r="K28" s="366" t="str">
        <f t="shared" si="0"/>
        <v>X</v>
      </c>
      <c r="L28" s="367" t="str">
        <f t="shared" si="1"/>
        <v/>
      </c>
      <c r="M28" s="367" t="str">
        <f t="shared" si="2"/>
        <v/>
      </c>
      <c r="N28" s="482"/>
      <c r="O28" s="483"/>
      <c r="P28" s="480">
        <f ca="1">IF(I28="",0,IF(K28="X",LOOKUP(I28,MISC!$AB$1:$AJ$1,MISC!$AB$2:$AJ$2),LOOKUP(I28,MISC!$AB$1:$AJ$1,MISC!$AB$2:$AJ$2)*0.5))+IF(M28="X",20,IF(L28="X",10,0))+N28</f>
        <v>35</v>
      </c>
      <c r="Q28" s="481"/>
      <c r="R28" s="353"/>
      <c r="S28" s="487"/>
      <c r="T28" s="488"/>
      <c r="U28" s="488"/>
      <c r="V28" s="488"/>
      <c r="W28" s="488"/>
      <c r="X28" s="488"/>
      <c r="Y28" s="488"/>
      <c r="Z28" s="488"/>
      <c r="AA28" s="488"/>
      <c r="AB28" s="489"/>
      <c r="AC28" s="353"/>
      <c r="AD28" s="602"/>
      <c r="AE28" s="603"/>
      <c r="AF28" s="603"/>
      <c r="AG28" s="603"/>
      <c r="AH28" s="603"/>
      <c r="AI28" s="603"/>
      <c r="AJ28" s="603"/>
      <c r="AK28" s="603"/>
      <c r="AL28" s="603"/>
      <c r="AM28" s="603"/>
      <c r="AN28" s="603"/>
      <c r="AO28" s="604"/>
      <c r="AP28" s="354"/>
    </row>
    <row r="29" spans="1:42" ht="18">
      <c r="A29" s="352"/>
      <c r="B29" s="448" t="s">
        <v>466</v>
      </c>
      <c r="C29" s="445"/>
      <c r="D29" s="445"/>
      <c r="E29" s="445"/>
      <c r="F29" s="445"/>
      <c r="G29" s="445"/>
      <c r="H29" s="449"/>
      <c r="I29" s="448" t="s">
        <v>10</v>
      </c>
      <c r="J29" s="449"/>
      <c r="K29" s="366" t="str">
        <f t="shared" si="0"/>
        <v/>
      </c>
      <c r="L29" s="367" t="str">
        <f t="shared" si="1"/>
        <v/>
      </c>
      <c r="M29" s="367" t="str">
        <f t="shared" si="2"/>
        <v/>
      </c>
      <c r="N29" s="482"/>
      <c r="O29" s="483"/>
      <c r="P29" s="480">
        <f ca="1">IF(I29="",0,IF(K29="X",LOOKUP(I29,MISC!$AB$1:$AJ$1,MISC!$AB$2:$AJ$2),LOOKUP(I29,MISC!$AB$1:$AJ$1,MISC!$AB$2:$AJ$2)*0.5))+IF(M29="X",20,IF(L29="X",10,0))+N29</f>
        <v>24.5</v>
      </c>
      <c r="Q29" s="481"/>
      <c r="R29" s="353"/>
      <c r="S29" s="487"/>
      <c r="T29" s="488"/>
      <c r="U29" s="488"/>
      <c r="V29" s="488"/>
      <c r="W29" s="488"/>
      <c r="X29" s="488"/>
      <c r="Y29" s="488"/>
      <c r="Z29" s="488"/>
      <c r="AA29" s="488"/>
      <c r="AB29" s="489"/>
      <c r="AC29" s="353"/>
      <c r="AD29" s="602"/>
      <c r="AE29" s="603"/>
      <c r="AF29" s="603"/>
      <c r="AG29" s="603"/>
      <c r="AH29" s="603"/>
      <c r="AI29" s="603"/>
      <c r="AJ29" s="603"/>
      <c r="AK29" s="603"/>
      <c r="AL29" s="603"/>
      <c r="AM29" s="603"/>
      <c r="AN29" s="603"/>
      <c r="AO29" s="604"/>
      <c r="AP29" s="354"/>
    </row>
    <row r="30" spans="1:42" ht="18">
      <c r="A30" s="352"/>
      <c r="B30" s="448" t="s">
        <v>467</v>
      </c>
      <c r="C30" s="445"/>
      <c r="D30" s="445"/>
      <c r="E30" s="445"/>
      <c r="F30" s="445"/>
      <c r="G30" s="445"/>
      <c r="H30" s="449"/>
      <c r="I30" s="448" t="s">
        <v>7</v>
      </c>
      <c r="J30" s="449"/>
      <c r="K30" s="366" t="str">
        <f t="shared" si="0"/>
        <v/>
      </c>
      <c r="L30" s="367" t="str">
        <f t="shared" si="1"/>
        <v/>
      </c>
      <c r="M30" s="367" t="str">
        <f t="shared" si="2"/>
        <v/>
      </c>
      <c r="N30" s="482"/>
      <c r="O30" s="483"/>
      <c r="P30" s="480">
        <f ca="1">IF(I30="",0,IF(K30="X",LOOKUP(I30,MISC!$AB$1:$AJ$1,MISC!$AB$2:$AJ$2),LOOKUP(I30,MISC!$AB$1:$AJ$1,MISC!$AB$2:$AJ$2)*0.5))+IF(M30="X",20,IF(L30="X",10,0))+N30</f>
        <v>21.5</v>
      </c>
      <c r="Q30" s="481"/>
      <c r="R30" s="353"/>
      <c r="S30" s="487"/>
      <c r="T30" s="488"/>
      <c r="U30" s="488"/>
      <c r="V30" s="488"/>
      <c r="W30" s="488"/>
      <c r="X30" s="488"/>
      <c r="Y30" s="488"/>
      <c r="Z30" s="488"/>
      <c r="AA30" s="488"/>
      <c r="AB30" s="489"/>
      <c r="AC30" s="353"/>
      <c r="AD30" s="602"/>
      <c r="AE30" s="603"/>
      <c r="AF30" s="603"/>
      <c r="AG30" s="603"/>
      <c r="AH30" s="603"/>
      <c r="AI30" s="603"/>
      <c r="AJ30" s="603"/>
      <c r="AK30" s="603"/>
      <c r="AL30" s="603"/>
      <c r="AM30" s="603"/>
      <c r="AN30" s="603"/>
      <c r="AO30" s="604"/>
      <c r="AP30" s="354"/>
    </row>
    <row r="31" spans="1:42" ht="18">
      <c r="A31" s="352"/>
      <c r="B31" s="448" t="s">
        <v>468</v>
      </c>
      <c r="C31" s="445"/>
      <c r="D31" s="445"/>
      <c r="E31" s="445"/>
      <c r="F31" s="445"/>
      <c r="G31" s="445"/>
      <c r="H31" s="449"/>
      <c r="I31" s="448" t="s">
        <v>7</v>
      </c>
      <c r="J31" s="449"/>
      <c r="K31" s="366" t="str">
        <f t="shared" si="0"/>
        <v/>
      </c>
      <c r="L31" s="367" t="str">
        <f t="shared" si="1"/>
        <v/>
      </c>
      <c r="M31" s="367" t="str">
        <f t="shared" si="2"/>
        <v/>
      </c>
      <c r="N31" s="482"/>
      <c r="O31" s="483"/>
      <c r="P31" s="480">
        <f ca="1">IF(I31="",0,IF(K31="X",LOOKUP(I31,MISC!$AB$1:$AJ$1,MISC!$AB$2:$AJ$2),LOOKUP(I31,MISC!$AB$1:$AJ$1,MISC!$AB$2:$AJ$2)*0.5))+IF(M31="X",20,IF(L31="X",10,0))+N31</f>
        <v>21.5</v>
      </c>
      <c r="Q31" s="481"/>
      <c r="R31" s="353"/>
      <c r="S31" s="487"/>
      <c r="T31" s="488"/>
      <c r="U31" s="488"/>
      <c r="V31" s="488"/>
      <c r="W31" s="488"/>
      <c r="X31" s="488"/>
      <c r="Y31" s="488"/>
      <c r="Z31" s="488"/>
      <c r="AA31" s="488"/>
      <c r="AB31" s="489"/>
      <c r="AC31" s="353"/>
      <c r="AD31" s="602"/>
      <c r="AE31" s="603"/>
      <c r="AF31" s="603"/>
      <c r="AG31" s="603"/>
      <c r="AH31" s="603"/>
      <c r="AI31" s="603"/>
      <c r="AJ31" s="603"/>
      <c r="AK31" s="603"/>
      <c r="AL31" s="603"/>
      <c r="AM31" s="603"/>
      <c r="AN31" s="603"/>
      <c r="AO31" s="604"/>
      <c r="AP31" s="354"/>
    </row>
    <row r="32" spans="1:42" ht="18">
      <c r="A32" s="352"/>
      <c r="B32" s="448" t="s">
        <v>469</v>
      </c>
      <c r="C32" s="445"/>
      <c r="D32" s="445"/>
      <c r="E32" s="445"/>
      <c r="F32" s="445"/>
      <c r="G32" s="445"/>
      <c r="H32" s="449"/>
      <c r="I32" s="448" t="s">
        <v>7</v>
      </c>
      <c r="J32" s="449"/>
      <c r="K32" s="366" t="str">
        <f t="shared" si="0"/>
        <v/>
      </c>
      <c r="L32" s="367" t="str">
        <f t="shared" si="1"/>
        <v/>
      </c>
      <c r="M32" s="367" t="str">
        <f t="shared" si="2"/>
        <v/>
      </c>
      <c r="N32" s="482">
        <f ca="1">COUNTIF(TalentFinal,"*Acrobatie équestre*")*10</f>
        <v>0</v>
      </c>
      <c r="O32" s="483"/>
      <c r="P32" s="480">
        <f ca="1">IF(I32="",0,IF(K32="X",LOOKUP(I32,MISC!$AB$1:$AJ$1,MISC!$AB$2:$AJ$2),LOOKUP(I32,MISC!$AB$1:$AJ$1,MISC!$AB$2:$AJ$2)*0.5))+IF(M32="X",20,IF(L32="X",10,0))+N32</f>
        <v>21.5</v>
      </c>
      <c r="Q32" s="481"/>
      <c r="R32" s="353"/>
      <c r="S32" s="487"/>
      <c r="T32" s="488"/>
      <c r="U32" s="488"/>
      <c r="V32" s="488"/>
      <c r="W32" s="488"/>
      <c r="X32" s="488"/>
      <c r="Y32" s="488"/>
      <c r="Z32" s="488"/>
      <c r="AA32" s="488"/>
      <c r="AB32" s="489"/>
      <c r="AC32" s="353"/>
      <c r="AD32" s="602"/>
      <c r="AE32" s="603"/>
      <c r="AF32" s="603"/>
      <c r="AG32" s="603"/>
      <c r="AH32" s="603"/>
      <c r="AI32" s="603"/>
      <c r="AJ32" s="603"/>
      <c r="AK32" s="603"/>
      <c r="AL32" s="603"/>
      <c r="AM32" s="603"/>
      <c r="AN32" s="603"/>
      <c r="AO32" s="604"/>
      <c r="AP32" s="354"/>
    </row>
    <row r="33" spans="1:42" ht="18">
      <c r="A33" s="352"/>
      <c r="B33" s="448" t="s">
        <v>470</v>
      </c>
      <c r="C33" s="445"/>
      <c r="D33" s="445"/>
      <c r="E33" s="445"/>
      <c r="F33" s="445"/>
      <c r="G33" s="445"/>
      <c r="H33" s="449"/>
      <c r="I33" s="448" t="s">
        <v>5</v>
      </c>
      <c r="J33" s="449"/>
      <c r="K33" s="366" t="str">
        <f t="shared" si="0"/>
        <v>X</v>
      </c>
      <c r="L33" s="367" t="str">
        <f t="shared" si="1"/>
        <v/>
      </c>
      <c r="M33" s="367" t="str">
        <f t="shared" si="2"/>
        <v/>
      </c>
      <c r="N33" s="482"/>
      <c r="O33" s="483"/>
      <c r="P33" s="480">
        <f ca="1">IF(I33="",0,IF(K33="X",LOOKUP(I33,MISC!$AB$1:$AJ$1,MISC!$AB$2:$AJ$2),LOOKUP(I33,MISC!$AB$1:$AJ$1,MISC!$AB$2:$AJ$2)*0.5))+IF(M33="X",20,IF(L33="X",10,0))+N33</f>
        <v>35</v>
      </c>
      <c r="Q33" s="481"/>
      <c r="R33" s="353"/>
      <c r="S33" s="487"/>
      <c r="T33" s="488"/>
      <c r="U33" s="488"/>
      <c r="V33" s="488"/>
      <c r="W33" s="488"/>
      <c r="X33" s="488"/>
      <c r="Y33" s="488"/>
      <c r="Z33" s="488"/>
      <c r="AA33" s="488"/>
      <c r="AB33" s="489"/>
      <c r="AC33" s="353"/>
      <c r="AD33" s="602"/>
      <c r="AE33" s="603"/>
      <c r="AF33" s="603"/>
      <c r="AG33" s="603"/>
      <c r="AH33" s="603"/>
      <c r="AI33" s="603"/>
      <c r="AJ33" s="603"/>
      <c r="AK33" s="603"/>
      <c r="AL33" s="603"/>
      <c r="AM33" s="603"/>
      <c r="AN33" s="603"/>
      <c r="AO33" s="604"/>
      <c r="AP33" s="354"/>
    </row>
    <row r="34" spans="1:42" ht="18">
      <c r="A34" s="352"/>
      <c r="B34" s="448" t="s">
        <v>471</v>
      </c>
      <c r="C34" s="445"/>
      <c r="D34" s="445"/>
      <c r="E34" s="445"/>
      <c r="F34" s="445"/>
      <c r="G34" s="445"/>
      <c r="H34" s="449"/>
      <c r="I34" s="448" t="s">
        <v>8</v>
      </c>
      <c r="J34" s="449"/>
      <c r="K34" s="366" t="str">
        <f t="shared" si="0"/>
        <v>X</v>
      </c>
      <c r="L34" s="367" t="str">
        <f t="shared" si="1"/>
        <v>X</v>
      </c>
      <c r="M34" s="367" t="str">
        <f t="shared" si="2"/>
        <v/>
      </c>
      <c r="N34" s="482">
        <f ca="1">COUNTIF(TalentFinal,"*Dur en affaire*")*10</f>
        <v>10</v>
      </c>
      <c r="O34" s="483"/>
      <c r="P34" s="480">
        <f ca="1">IF(I34="",0,IF(K34="X",LOOKUP(I34,MISC!$AB$1:$AJ$1,MISC!$AB$2:$AJ$2),LOOKUP(I34,MISC!$AB$1:$AJ$1,MISC!$AB$2:$AJ$2)*0.5))+IF(M34="X",20,IF(L34="X",10,0))+N34</f>
        <v>60</v>
      </c>
      <c r="Q34" s="481"/>
      <c r="R34" s="353"/>
      <c r="S34" s="487"/>
      <c r="T34" s="488"/>
      <c r="U34" s="488"/>
      <c r="V34" s="488"/>
      <c r="W34" s="488"/>
      <c r="X34" s="488"/>
      <c r="Y34" s="488"/>
      <c r="Z34" s="488"/>
      <c r="AA34" s="488"/>
      <c r="AB34" s="489"/>
      <c r="AC34" s="353"/>
      <c r="AD34" s="602"/>
      <c r="AE34" s="603"/>
      <c r="AF34" s="603"/>
      <c r="AG34" s="603"/>
      <c r="AH34" s="603"/>
      <c r="AI34" s="603"/>
      <c r="AJ34" s="603"/>
      <c r="AK34" s="603"/>
      <c r="AL34" s="603"/>
      <c r="AM34" s="603"/>
      <c r="AN34" s="603"/>
      <c r="AO34" s="604"/>
      <c r="AP34" s="354"/>
    </row>
    <row r="35" spans="1:42" ht="18">
      <c r="A35" s="352"/>
      <c r="B35" s="448" t="s">
        <v>472</v>
      </c>
      <c r="C35" s="445"/>
      <c r="D35" s="445"/>
      <c r="E35" s="445"/>
      <c r="F35" s="445"/>
      <c r="G35" s="445"/>
      <c r="H35" s="449"/>
      <c r="I35" s="448" t="s">
        <v>8</v>
      </c>
      <c r="J35" s="449"/>
      <c r="K35" s="366" t="str">
        <f t="shared" si="0"/>
        <v>X</v>
      </c>
      <c r="L35" s="367" t="str">
        <f t="shared" si="1"/>
        <v>X</v>
      </c>
      <c r="M35" s="367" t="str">
        <f t="shared" si="2"/>
        <v/>
      </c>
      <c r="N35" s="482"/>
      <c r="O35" s="483"/>
      <c r="P35" s="480">
        <f ca="1">IF(I35="",0,IF(K35="X",LOOKUP(I35,MISC!$AB$1:$AJ$1,MISC!$AB$2:$AJ$2),LOOKUP(I35,MISC!$AB$1:$AJ$1,MISC!$AB$2:$AJ$2)*0.5))+IF(M35="X",20,IF(L35="X",10,0))+N35</f>
        <v>50</v>
      </c>
      <c r="Q35" s="481"/>
      <c r="R35" s="353"/>
      <c r="S35" s="487"/>
      <c r="T35" s="488"/>
      <c r="U35" s="488"/>
      <c r="V35" s="488"/>
      <c r="W35" s="488"/>
      <c r="X35" s="488"/>
      <c r="Y35" s="488"/>
      <c r="Z35" s="488"/>
      <c r="AA35" s="488"/>
      <c r="AB35" s="489"/>
      <c r="AC35" s="353"/>
      <c r="AD35" s="602"/>
      <c r="AE35" s="603"/>
      <c r="AF35" s="603"/>
      <c r="AG35" s="603"/>
      <c r="AH35" s="603"/>
      <c r="AI35" s="603"/>
      <c r="AJ35" s="603"/>
      <c r="AK35" s="603"/>
      <c r="AL35" s="603"/>
      <c r="AM35" s="603"/>
      <c r="AN35" s="603"/>
      <c r="AO35" s="604"/>
      <c r="AP35" s="354"/>
    </row>
    <row r="36" spans="1:42" ht="18">
      <c r="A36" s="352"/>
      <c r="B36" s="448" t="s">
        <v>473</v>
      </c>
      <c r="C36" s="445"/>
      <c r="D36" s="445"/>
      <c r="E36" s="445"/>
      <c r="F36" s="445"/>
      <c r="G36" s="445"/>
      <c r="H36" s="449"/>
      <c r="I36" s="448" t="s">
        <v>5</v>
      </c>
      <c r="J36" s="449"/>
      <c r="K36" s="366" t="str">
        <f t="shared" si="0"/>
        <v/>
      </c>
      <c r="L36" s="367" t="str">
        <f t="shared" si="1"/>
        <v/>
      </c>
      <c r="M36" s="367" t="str">
        <f t="shared" si="2"/>
        <v/>
      </c>
      <c r="N36" s="482">
        <f ca="1">COUNTIF(TalentFinal,"*Menaçant*")*10</f>
        <v>0</v>
      </c>
      <c r="O36" s="483"/>
      <c r="P36" s="480">
        <f ca="1">IF(I36="",0,IF(K36="X",LOOKUP(I36,MISC!$AB$1:$AJ$1,MISC!$AB$2:$AJ$2),LOOKUP(I36,MISC!$AB$1:$AJ$1,MISC!$AB$2:$AJ$2)*0.5))+IF(M36="X",20,IF(L36="X",10,0))+N36</f>
        <v>17.5</v>
      </c>
      <c r="Q36" s="481"/>
      <c r="R36" s="353"/>
      <c r="S36" s="487"/>
      <c r="T36" s="488"/>
      <c r="U36" s="488"/>
      <c r="V36" s="488"/>
      <c r="W36" s="488"/>
      <c r="X36" s="488"/>
      <c r="Y36" s="488"/>
      <c r="Z36" s="488"/>
      <c r="AA36" s="488"/>
      <c r="AB36" s="489"/>
      <c r="AC36" s="353"/>
      <c r="AD36" s="602"/>
      <c r="AE36" s="603"/>
      <c r="AF36" s="603"/>
      <c r="AG36" s="603"/>
      <c r="AH36" s="603"/>
      <c r="AI36" s="603"/>
      <c r="AJ36" s="603"/>
      <c r="AK36" s="603"/>
      <c r="AL36" s="603"/>
      <c r="AM36" s="603"/>
      <c r="AN36" s="603"/>
      <c r="AO36" s="604"/>
      <c r="AP36" s="354"/>
    </row>
    <row r="37" spans="1:42" ht="18">
      <c r="A37" s="352"/>
      <c r="B37" s="448" t="s">
        <v>474</v>
      </c>
      <c r="C37" s="445"/>
      <c r="D37" s="445"/>
      <c r="E37" s="445"/>
      <c r="F37" s="445"/>
      <c r="G37" s="445"/>
      <c r="H37" s="449"/>
      <c r="I37" s="448" t="s">
        <v>8</v>
      </c>
      <c r="J37" s="449"/>
      <c r="K37" s="366" t="str">
        <f t="shared" si="0"/>
        <v/>
      </c>
      <c r="L37" s="367" t="str">
        <f t="shared" si="1"/>
        <v/>
      </c>
      <c r="M37" s="367" t="str">
        <f t="shared" si="2"/>
        <v/>
      </c>
      <c r="N37" s="482">
        <f ca="1">COUNTIF(TalentFinal,"*Calcul mental*")*10</f>
        <v>0</v>
      </c>
      <c r="O37" s="483"/>
      <c r="P37" s="480">
        <f ca="1">IF(I37="",0,IF(K37="X",LOOKUP(I37,MISC!$AB$1:$AJ$1,MISC!$AB$2:$AJ$2),LOOKUP(I37,MISC!$AB$1:$AJ$1,MISC!$AB$2:$AJ$2)*0.5))+IF(M37="X",20,IF(L37="X",10,0))+N37</f>
        <v>20</v>
      </c>
      <c r="Q37" s="481"/>
      <c r="R37" s="353"/>
      <c r="S37" s="487"/>
      <c r="T37" s="488"/>
      <c r="U37" s="488"/>
      <c r="V37" s="488"/>
      <c r="W37" s="488"/>
      <c r="X37" s="488"/>
      <c r="Y37" s="488"/>
      <c r="Z37" s="488"/>
      <c r="AA37" s="488"/>
      <c r="AB37" s="489"/>
      <c r="AC37" s="353"/>
      <c r="AD37" s="602"/>
      <c r="AE37" s="603"/>
      <c r="AF37" s="603"/>
      <c r="AG37" s="603"/>
      <c r="AH37" s="603"/>
      <c r="AI37" s="603"/>
      <c r="AJ37" s="603"/>
      <c r="AK37" s="603"/>
      <c r="AL37" s="603"/>
      <c r="AM37" s="603"/>
      <c r="AN37" s="603"/>
      <c r="AO37" s="604"/>
      <c r="AP37" s="354"/>
    </row>
    <row r="38" spans="1:42" ht="18" customHeight="1">
      <c r="A38" s="352"/>
      <c r="B38" s="448" t="s">
        <v>475</v>
      </c>
      <c r="C38" s="445"/>
      <c r="D38" s="445"/>
      <c r="E38" s="445"/>
      <c r="F38" s="445"/>
      <c r="G38" s="445"/>
      <c r="H38" s="449"/>
      <c r="I38" s="448" t="s">
        <v>10</v>
      </c>
      <c r="J38" s="449"/>
      <c r="K38" s="366" t="str">
        <f t="shared" si="0"/>
        <v>X</v>
      </c>
      <c r="L38" s="367" t="str">
        <f t="shared" si="1"/>
        <v>X</v>
      </c>
      <c r="M38" s="367" t="str">
        <f t="shared" si="2"/>
        <v/>
      </c>
      <c r="N38" s="482">
        <f ca="1">COUNTIF(TalentFinal,"*Dur en affaire*")*10</f>
        <v>10</v>
      </c>
      <c r="O38" s="483"/>
      <c r="P38" s="480">
        <f ca="1">IF(I38="",0,IF(K38="X",LOOKUP(I38,MISC!$AB$1:$AJ$1,MISC!$AB$2:$AJ$2),LOOKUP(I38,MISC!$AB$1:$AJ$1,MISC!$AB$2:$AJ$2)*0.5))+IF(M38="X",20,IF(L38="X",10,0))+N38</f>
        <v>69</v>
      </c>
      <c r="Q38" s="481"/>
      <c r="R38" s="353"/>
      <c r="S38" s="487"/>
      <c r="T38" s="488"/>
      <c r="U38" s="488"/>
      <c r="V38" s="488"/>
      <c r="W38" s="488"/>
      <c r="X38" s="488"/>
      <c r="Y38" s="488"/>
      <c r="Z38" s="488"/>
      <c r="AA38" s="488"/>
      <c r="AB38" s="489"/>
      <c r="AC38" s="353"/>
      <c r="AD38" s="602"/>
      <c r="AE38" s="603"/>
      <c r="AF38" s="603"/>
      <c r="AG38" s="603"/>
      <c r="AH38" s="603"/>
      <c r="AI38" s="603"/>
      <c r="AJ38" s="603"/>
      <c r="AK38" s="603"/>
      <c r="AL38" s="603"/>
      <c r="AM38" s="603"/>
      <c r="AN38" s="603"/>
      <c r="AO38" s="604"/>
      <c r="AP38" s="354"/>
    </row>
    <row r="39" spans="1:42" ht="18" customHeight="1">
      <c r="A39" s="352"/>
      <c r="B39" s="448" t="s">
        <v>476</v>
      </c>
      <c r="C39" s="445"/>
      <c r="D39" s="445"/>
      <c r="E39" s="445"/>
      <c r="F39" s="445"/>
      <c r="G39" s="445"/>
      <c r="H39" s="449"/>
      <c r="I39" s="448" t="s">
        <v>5</v>
      </c>
      <c r="J39" s="449"/>
      <c r="K39" s="366" t="str">
        <f t="shared" si="0"/>
        <v/>
      </c>
      <c r="L39" s="367" t="str">
        <f t="shared" si="1"/>
        <v/>
      </c>
      <c r="M39" s="367" t="str">
        <f t="shared" si="2"/>
        <v/>
      </c>
      <c r="N39" s="482"/>
      <c r="O39" s="483"/>
      <c r="P39" s="480">
        <f ca="1">IF(I39="",0,IF(K39="X",LOOKUP(I39,MISC!$AB$1:$AJ$1,MISC!$AB$2:$AJ$2),LOOKUP(I39,MISC!$AB$1:$AJ$1,MISC!$AB$2:$AJ$2)*0.5))+IF(M39="X",20,IF(L39="X",10,0))+N39</f>
        <v>17.5</v>
      </c>
      <c r="Q39" s="481"/>
      <c r="R39" s="353"/>
      <c r="S39" s="487"/>
      <c r="T39" s="488"/>
      <c r="U39" s="488"/>
      <c r="V39" s="488"/>
      <c r="W39" s="488"/>
      <c r="X39" s="488"/>
      <c r="Y39" s="488"/>
      <c r="Z39" s="488"/>
      <c r="AA39" s="488"/>
      <c r="AB39" s="489"/>
      <c r="AC39" s="353"/>
      <c r="AD39" s="602"/>
      <c r="AE39" s="603"/>
      <c r="AF39" s="603"/>
      <c r="AG39" s="603"/>
      <c r="AH39" s="603"/>
      <c r="AI39" s="603"/>
      <c r="AJ39" s="603"/>
      <c r="AK39" s="603"/>
      <c r="AL39" s="603"/>
      <c r="AM39" s="603"/>
      <c r="AN39" s="603"/>
      <c r="AO39" s="604"/>
      <c r="AP39" s="354"/>
    </row>
    <row r="40" spans="1:42" ht="18">
      <c r="A40" s="352"/>
      <c r="B40" s="448" t="s">
        <v>477</v>
      </c>
      <c r="C40" s="445"/>
      <c r="D40" s="445"/>
      <c r="E40" s="445"/>
      <c r="F40" s="445"/>
      <c r="G40" s="445"/>
      <c r="H40" s="449"/>
      <c r="I40" s="448" t="s">
        <v>8</v>
      </c>
      <c r="J40" s="449"/>
      <c r="K40" s="366" t="str">
        <f t="shared" si="0"/>
        <v>X</v>
      </c>
      <c r="L40" s="367" t="str">
        <f t="shared" si="1"/>
        <v>X</v>
      </c>
      <c r="M40" s="367" t="str">
        <f t="shared" si="2"/>
        <v>X</v>
      </c>
      <c r="N40" s="482">
        <f ca="1">COUNTIF(TalentFinal,"*Sens aiguisés*")*20</f>
        <v>0</v>
      </c>
      <c r="O40" s="483"/>
      <c r="P40" s="480">
        <f ca="1">IF(I40="",0,IF(K40="X",LOOKUP(I40,MISC!$AB$1:$AJ$1,MISC!$AB$2:$AJ$2),LOOKUP(I40,MISC!$AB$1:$AJ$1,MISC!$AB$2:$AJ$2)*0.5))+IF(M40="X",20,IF(L40="X",10,0))+N40</f>
        <v>60</v>
      </c>
      <c r="Q40" s="481"/>
      <c r="R40" s="353"/>
      <c r="S40" s="487"/>
      <c r="T40" s="488"/>
      <c r="U40" s="488"/>
      <c r="V40" s="488"/>
      <c r="W40" s="488"/>
      <c r="X40" s="488"/>
      <c r="Y40" s="488"/>
      <c r="Z40" s="488"/>
      <c r="AA40" s="488"/>
      <c r="AB40" s="489"/>
      <c r="AC40" s="353"/>
      <c r="AD40" s="602"/>
      <c r="AE40" s="603"/>
      <c r="AF40" s="603"/>
      <c r="AG40" s="603"/>
      <c r="AH40" s="603"/>
      <c r="AI40" s="603"/>
      <c r="AJ40" s="603"/>
      <c r="AK40" s="603"/>
      <c r="AL40" s="603"/>
      <c r="AM40" s="603"/>
      <c r="AN40" s="603"/>
      <c r="AO40" s="604"/>
      <c r="AP40" s="354"/>
    </row>
    <row r="41" spans="1:42" ht="18" customHeight="1">
      <c r="A41" s="352"/>
      <c r="B41" s="448" t="s">
        <v>478</v>
      </c>
      <c r="C41" s="445"/>
      <c r="D41" s="445"/>
      <c r="E41" s="445"/>
      <c r="F41" s="445"/>
      <c r="G41" s="445"/>
      <c r="H41" s="449"/>
      <c r="I41" s="448" t="s">
        <v>6</v>
      </c>
      <c r="J41" s="449"/>
      <c r="K41" s="366" t="str">
        <f t="shared" si="0"/>
        <v>X</v>
      </c>
      <c r="L41" s="367" t="str">
        <f t="shared" si="1"/>
        <v/>
      </c>
      <c r="M41" s="367" t="str">
        <f t="shared" si="2"/>
        <v/>
      </c>
      <c r="N41" s="482"/>
      <c r="O41" s="483"/>
      <c r="P41" s="480">
        <f ca="1">IF(I41="",0,IF(K41="X",LOOKUP(I41,MISC!$AB$1:$AJ$1,MISC!$AB$2:$AJ$2),LOOKUP(I41,MISC!$AB$1:$AJ$1,MISC!$AB$2:$AJ$2)*0.5))+IF(M41="X",20,IF(L41="X",10,0))+N41</f>
        <v>47</v>
      </c>
      <c r="Q41" s="481"/>
      <c r="R41" s="353"/>
      <c r="S41" s="487"/>
      <c r="T41" s="488"/>
      <c r="U41" s="488"/>
      <c r="V41" s="488"/>
      <c r="W41" s="488"/>
      <c r="X41" s="488"/>
      <c r="Y41" s="488"/>
      <c r="Z41" s="488"/>
      <c r="AA41" s="488"/>
      <c r="AB41" s="489"/>
      <c r="AC41" s="353"/>
      <c r="AD41" s="602"/>
      <c r="AE41" s="603"/>
      <c r="AF41" s="603"/>
      <c r="AG41" s="603"/>
      <c r="AH41" s="603"/>
      <c r="AI41" s="603"/>
      <c r="AJ41" s="603"/>
      <c r="AK41" s="603"/>
      <c r="AL41" s="603"/>
      <c r="AM41" s="603"/>
      <c r="AN41" s="603"/>
      <c r="AO41" s="604"/>
      <c r="AP41" s="354"/>
    </row>
    <row r="42" spans="1:42" ht="18" customHeight="1" thickBot="1">
      <c r="A42" s="352"/>
      <c r="B42" s="448" t="s">
        <v>479</v>
      </c>
      <c r="C42" s="445"/>
      <c r="D42" s="445"/>
      <c r="E42" s="445"/>
      <c r="F42" s="445"/>
      <c r="G42" s="445"/>
      <c r="H42" s="449"/>
      <c r="I42" s="448" t="s">
        <v>8</v>
      </c>
      <c r="J42" s="449"/>
      <c r="K42" s="366" t="str">
        <f t="shared" si="0"/>
        <v>X</v>
      </c>
      <c r="L42" s="367" t="str">
        <f t="shared" si="1"/>
        <v/>
      </c>
      <c r="M42" s="367" t="str">
        <f t="shared" si="2"/>
        <v/>
      </c>
      <c r="N42" s="482"/>
      <c r="O42" s="483"/>
      <c r="P42" s="480">
        <f ca="1">IF(I42="",0,IF(K42="X",LOOKUP(I42,MISC!$AB$1:$AJ$1,MISC!$AB$2:$AJ$2),LOOKUP(I42,MISC!$AB$1:$AJ$1,MISC!$AB$2:$AJ$2)*0.5))+IF(M42="X",20,IF(L42="X",10,0))+N42</f>
        <v>40</v>
      </c>
      <c r="Q42" s="481"/>
      <c r="R42" s="353"/>
      <c r="S42" s="490"/>
      <c r="T42" s="491"/>
      <c r="U42" s="491"/>
      <c r="V42" s="491"/>
      <c r="W42" s="491"/>
      <c r="X42" s="491"/>
      <c r="Y42" s="491"/>
      <c r="Z42" s="491"/>
      <c r="AA42" s="491"/>
      <c r="AB42" s="492"/>
      <c r="AC42" s="353"/>
      <c r="AD42" s="605"/>
      <c r="AE42" s="606"/>
      <c r="AF42" s="606"/>
      <c r="AG42" s="606"/>
      <c r="AH42" s="606"/>
      <c r="AI42" s="606"/>
      <c r="AJ42" s="606"/>
      <c r="AK42" s="606"/>
      <c r="AL42" s="606"/>
      <c r="AM42" s="606"/>
      <c r="AN42" s="606"/>
      <c r="AO42" s="607"/>
      <c r="AP42" s="354"/>
    </row>
    <row r="43" spans="1:42" ht="18.75" customHeight="1" thickBot="1">
      <c r="A43" s="352"/>
      <c r="B43" s="505" t="s">
        <v>480</v>
      </c>
      <c r="C43" s="506"/>
      <c r="D43" s="506"/>
      <c r="E43" s="506"/>
      <c r="F43" s="506"/>
      <c r="G43" s="506"/>
      <c r="H43" s="507"/>
      <c r="I43" s="505" t="s">
        <v>8</v>
      </c>
      <c r="J43" s="507"/>
      <c r="K43" s="368" t="str">
        <f t="shared" si="0"/>
        <v/>
      </c>
      <c r="L43" s="369" t="str">
        <f t="shared" si="1"/>
        <v/>
      </c>
      <c r="M43" s="369" t="str">
        <f t="shared" si="2"/>
        <v/>
      </c>
      <c r="N43" s="516"/>
      <c r="O43" s="517"/>
      <c r="P43" s="518">
        <f ca="1">IF(I43="",0,IF(K43="X",LOOKUP(I43,MISC!$AB$1:$AJ$1,MISC!$AB$2:$AJ$2),LOOKUP(I43,MISC!$AB$1:$AJ$1,MISC!$AB$2:$AJ$2)*0.5))+IF(M43="X",20,IF(L43="X",10,0))+N43</f>
        <v>20</v>
      </c>
      <c r="Q43" s="519"/>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c r="AP43" s="354"/>
    </row>
    <row r="44" spans="1:42" ht="18" customHeight="1" thickBot="1">
      <c r="A44" s="352"/>
      <c r="B44" s="508" t="str">
        <f ca="1">IF(ROW(B44)&lt;NbCompetenceAvance+43,'C&amp;T&amp;E'!AA2," ")</f>
        <v>Connaissances générales (Empire)</v>
      </c>
      <c r="C44" s="509"/>
      <c r="D44" s="509"/>
      <c r="E44" s="509"/>
      <c r="F44" s="509"/>
      <c r="G44" s="509"/>
      <c r="H44" s="510"/>
      <c r="I44" s="443" t="str">
        <f t="shared" ref="I44:I63" ca="1" si="3">IF(B44&lt;&gt;" ",LOOKUP(B44,ListeCompetence,ListeCompetenceCarac),"")</f>
        <v>Int</v>
      </c>
      <c r="J44" s="444"/>
      <c r="K44" s="364" t="str">
        <f t="shared" ref="K44:K63" ca="1" si="4">IF($B44&lt;&gt;" ",IF(COUNTIF(CompetenceAvanceBrute,$B44)&gt;0,"X",""),"")</f>
        <v>X</v>
      </c>
      <c r="L44" s="365" t="str">
        <f t="shared" ref="L44:L63" ca="1" si="5">IF($B44&lt;&gt;" ",IF(COUNTIF(CompetenceAvanceBrute,$B44)&gt;1,"X",""),"")</f>
        <v>X</v>
      </c>
      <c r="M44" s="365" t="str">
        <f t="shared" ref="M44:M63" ca="1" si="6">IF($B44&lt;&gt;" ",IF(COUNTIF(CompetenceAvanceBrute,$B44)&gt;2,"X",""),"")</f>
        <v/>
      </c>
      <c r="N44" s="447"/>
      <c r="O44" s="522"/>
      <c r="P44" s="523">
        <f ca="1">IF(I44="",0,IF(K44="X",LOOKUP(I44,MISC!$AB$1:$AJ$1,MISC!$AB$2:$AJ$2),LOOKUP(I44,MISC!$AB$1:$AJ$1,MISC!$AB$2:$AJ$2)*0.5))+IF(M44="X",20,IF(L44="X",10,0))+N44</f>
        <v>50</v>
      </c>
      <c r="Q44" s="524"/>
      <c r="R44" s="353"/>
      <c r="S44" s="567" t="s">
        <v>74</v>
      </c>
      <c r="T44" s="568"/>
      <c r="U44" s="568"/>
      <c r="V44" s="568"/>
      <c r="W44" s="568"/>
      <c r="X44" s="569"/>
      <c r="Y44" s="567" t="s">
        <v>645</v>
      </c>
      <c r="Z44" s="571"/>
      <c r="AA44" s="570" t="s">
        <v>641</v>
      </c>
      <c r="AB44" s="571"/>
      <c r="AC44" s="570" t="s">
        <v>642</v>
      </c>
      <c r="AD44" s="568"/>
      <c r="AE44" s="571"/>
      <c r="AF44" s="570" t="s">
        <v>643</v>
      </c>
      <c r="AG44" s="568"/>
      <c r="AH44" s="568"/>
      <c r="AI44" s="571"/>
      <c r="AJ44" s="570" t="s">
        <v>644</v>
      </c>
      <c r="AK44" s="568"/>
      <c r="AL44" s="568"/>
      <c r="AM44" s="568"/>
      <c r="AN44" s="568"/>
      <c r="AO44" s="569"/>
      <c r="AP44" s="354"/>
    </row>
    <row r="45" spans="1:42" ht="18.75" customHeight="1">
      <c r="A45" s="352"/>
      <c r="B45" s="502" t="str">
        <f ca="1">IF(ROW(B45)&lt;NbCompetenceAvance+43,'C&amp;T&amp;E'!AA3," ")</f>
        <v>Langue (Reikspiel)</v>
      </c>
      <c r="C45" s="503"/>
      <c r="D45" s="503"/>
      <c r="E45" s="503"/>
      <c r="F45" s="503"/>
      <c r="G45" s="503"/>
      <c r="H45" s="504"/>
      <c r="I45" s="520" t="str">
        <f t="shared" ca="1" si="3"/>
        <v>Int</v>
      </c>
      <c r="J45" s="449"/>
      <c r="K45" s="366" t="str">
        <f t="shared" ca="1" si="4"/>
        <v>X</v>
      </c>
      <c r="L45" s="367" t="str">
        <f t="shared" ca="1" si="5"/>
        <v>X</v>
      </c>
      <c r="M45" s="367" t="str">
        <f t="shared" ca="1" si="6"/>
        <v/>
      </c>
      <c r="N45" s="445"/>
      <c r="O45" s="521"/>
      <c r="P45" s="480">
        <f ca="1">IF(I45="",0,IF(K45="X",LOOKUP(I45,MISC!$AB$1:$AJ$1,MISC!$AB$2:$AJ$2),LOOKUP(I45,MISC!$AB$1:$AJ$1,MISC!$AB$2:$AJ$2)*0.5))+IF(M45="X",20,IF(L45="X",10,0))+N45</f>
        <v>50</v>
      </c>
      <c r="Q45" s="481"/>
      <c r="R45" s="353"/>
      <c r="S45" s="595" t="s">
        <v>144</v>
      </c>
      <c r="T45" s="562"/>
      <c r="U45" s="562"/>
      <c r="V45" s="562"/>
      <c r="W45" s="562"/>
      <c r="X45" s="563"/>
      <c r="Y45" s="624" t="str">
        <f ca="1">CONCATENATE("D10 + "&amp;LOOKUP(S45,Armes!$B$1:$AR$1,Armes!$B$3:$AR$3))</f>
        <v>D10 + 1</v>
      </c>
      <c r="Z45" s="625"/>
      <c r="AA45" s="562" t="str">
        <f>LOOKUP(S45,Armes!$B$1:$AR$1,Armes!$B$4:$AR$4)</f>
        <v>NA</v>
      </c>
      <c r="AB45" s="562"/>
      <c r="AC45" s="562" t="str">
        <f>LOOKUP(S45,Armes!$B$1:$AR$1,Armes!$B$5:$AR$5)</f>
        <v>NA</v>
      </c>
      <c r="AD45" s="562"/>
      <c r="AE45" s="562"/>
      <c r="AF45" s="562" t="str">
        <f>LOOKUP(S45,Armes!$B$1:$AR$1,Armes!$B$6:$AR$6)</f>
        <v>Ordinaires</v>
      </c>
      <c r="AG45" s="562"/>
      <c r="AH45" s="562"/>
      <c r="AI45" s="562"/>
      <c r="AJ45" s="562" t="str">
        <f>LOOKUP(S45,Armes!$B$1:$AR$1,Armes!$B$10:$AR$10)</f>
        <v xml:space="preserve"> </v>
      </c>
      <c r="AK45" s="562"/>
      <c r="AL45" s="562"/>
      <c r="AM45" s="562"/>
      <c r="AN45" s="562"/>
      <c r="AO45" s="563"/>
      <c r="AP45" s="354"/>
    </row>
    <row r="46" spans="1:42" ht="18" customHeight="1">
      <c r="A46" s="352"/>
      <c r="B46" s="502" t="str">
        <f ca="1">IF(ROW(B46)&lt;NbCompetenceAvance+43,'C&amp;T&amp;E'!AA4," ")</f>
        <v>Connaissances générales (Bretonnie)</v>
      </c>
      <c r="C46" s="503"/>
      <c r="D46" s="503"/>
      <c r="E46" s="503"/>
      <c r="F46" s="503"/>
      <c r="G46" s="503"/>
      <c r="H46" s="504"/>
      <c r="I46" s="520" t="str">
        <f t="shared" ca="1" si="3"/>
        <v>Int</v>
      </c>
      <c r="J46" s="449"/>
      <c r="K46" s="366" t="str">
        <f t="shared" ca="1" si="4"/>
        <v>X</v>
      </c>
      <c r="L46" s="367" t="str">
        <f t="shared" ca="1" si="5"/>
        <v/>
      </c>
      <c r="M46" s="367" t="str">
        <f t="shared" ca="1" si="6"/>
        <v/>
      </c>
      <c r="N46" s="445"/>
      <c r="O46" s="521"/>
      <c r="P46" s="480">
        <f ca="1">IF(I46="",0,IF(K46="X",LOOKUP(I46,MISC!$AB$1:$AJ$1,MISC!$AB$2:$AJ$2),LOOKUP(I46,MISC!$AB$1:$AJ$1,MISC!$AB$2:$AJ$2)*0.5))+IF(M46="X",20,IF(L46="X",10,0))+N46</f>
        <v>40</v>
      </c>
      <c r="Q46" s="481"/>
      <c r="R46" s="353"/>
      <c r="S46" s="574" t="s">
        <v>687</v>
      </c>
      <c r="T46" s="575"/>
      <c r="U46" s="575"/>
      <c r="V46" s="575"/>
      <c r="W46" s="575"/>
      <c r="X46" s="576"/>
      <c r="Y46" s="572" t="str">
        <f ca="1">CONCATENATE("D10 + "&amp;LOOKUP(S46,Armes!$B$1:$AR$1,Armes!$B$3:$AR$3))</f>
        <v>D10 + 4</v>
      </c>
      <c r="Z46" s="573"/>
      <c r="AA46" s="391" t="str">
        <f>LOOKUP(S46,Armes!$B$1:$AR$1,Armes!$B$4:$AR$4)</f>
        <v>NA</v>
      </c>
      <c r="AB46" s="391"/>
      <c r="AC46" s="391" t="str">
        <f>LOOKUP(S46,Armes!$B$1:$AR$1,Armes!$B$5:$AR$5)</f>
        <v>NA</v>
      </c>
      <c r="AD46" s="391"/>
      <c r="AE46" s="391"/>
      <c r="AF46" s="391" t="str">
        <f>LOOKUP(S46,Armes!$B$1:$AR$1,Armes!$B$6:$AR$6)</f>
        <v>Ordinaires</v>
      </c>
      <c r="AG46" s="391"/>
      <c r="AH46" s="391"/>
      <c r="AI46" s="391"/>
      <c r="AJ46" s="391" t="str">
        <f>LOOKUP(S46,Armes!$B$1:$AR$1,Armes!$B$10:$AR$10)</f>
        <v xml:space="preserve"> </v>
      </c>
      <c r="AK46" s="391"/>
      <c r="AL46" s="391"/>
      <c r="AM46" s="391"/>
      <c r="AN46" s="391"/>
      <c r="AO46" s="392"/>
      <c r="AP46" s="354"/>
    </row>
    <row r="47" spans="1:42" ht="18" customHeight="1" thickBot="1">
      <c r="A47" s="352"/>
      <c r="B47" s="502" t="str">
        <f ca="1">IF(ROW(B47)&lt;NbCompetenceAvance+43,'C&amp;T&amp;E'!AA5," ")</f>
        <v>Connaissances générales (Norsca)</v>
      </c>
      <c r="C47" s="503"/>
      <c r="D47" s="503"/>
      <c r="E47" s="503"/>
      <c r="F47" s="503"/>
      <c r="G47" s="503"/>
      <c r="H47" s="504"/>
      <c r="I47" s="520" t="str">
        <f t="shared" ca="1" si="3"/>
        <v>Int</v>
      </c>
      <c r="J47" s="449"/>
      <c r="K47" s="366" t="str">
        <f t="shared" ca="1" si="4"/>
        <v>X</v>
      </c>
      <c r="L47" s="367" t="str">
        <f t="shared" ca="1" si="5"/>
        <v/>
      </c>
      <c r="M47" s="367" t="str">
        <f t="shared" ca="1" si="6"/>
        <v/>
      </c>
      <c r="N47" s="445"/>
      <c r="O47" s="521"/>
      <c r="P47" s="480">
        <f ca="1">IF(I47="",0,IF(K47="X",LOOKUP(I47,MISC!$AB$1:$AJ$1,MISC!$AB$2:$AJ$2),LOOKUP(I47,MISC!$AB$1:$AJ$1,MISC!$AB$2:$AJ$2)*0.5))+IF(M47="X",20,IF(L47="X",10,0))+N47</f>
        <v>40</v>
      </c>
      <c r="Q47" s="481"/>
      <c r="R47" s="353"/>
      <c r="S47" s="592" t="s">
        <v>107</v>
      </c>
      <c r="T47" s="593"/>
      <c r="U47" s="593"/>
      <c r="V47" s="593"/>
      <c r="W47" s="593"/>
      <c r="X47" s="594"/>
      <c r="Y47" s="396" t="str">
        <f ca="1">CONCATENATE("D10 + "&amp;LOOKUP(S47,Armes!$B$1:$AR$1,Armes!$B$3:$AR$3))</f>
        <v>D10 + 2</v>
      </c>
      <c r="Z47" s="397"/>
      <c r="AA47" s="398" t="str">
        <f>LOOKUP(S47,Armes!$B$1:$AR$1,Armes!$B$4:$AR$4)</f>
        <v>NA</v>
      </c>
      <c r="AB47" s="398"/>
      <c r="AC47" s="398" t="str">
        <f>LOOKUP(S47,Armes!$B$1:$AR$1,Armes!$B$5:$AR$5)</f>
        <v>NA</v>
      </c>
      <c r="AD47" s="398"/>
      <c r="AE47" s="398"/>
      <c r="AF47" s="398" t="str">
        <f>LOOKUP(S47,Armes!$B$1:$AR$1,Armes!$B$6:$AR$6)</f>
        <v>Ordinaires</v>
      </c>
      <c r="AG47" s="398"/>
      <c r="AH47" s="398"/>
      <c r="AI47" s="398"/>
      <c r="AJ47" s="398" t="str">
        <f>LOOKUP(S47,Armes!$B$1:$AR$1,Armes!$B$10:$AR$10)</f>
        <v>Défensive, Spéciale</v>
      </c>
      <c r="AK47" s="398"/>
      <c r="AL47" s="398"/>
      <c r="AM47" s="398"/>
      <c r="AN47" s="398"/>
      <c r="AO47" s="399"/>
      <c r="AP47" s="354"/>
    </row>
    <row r="48" spans="1:42" ht="18" customHeight="1">
      <c r="A48" s="352"/>
      <c r="B48" s="502" t="str">
        <f ca="1">IF(ROW(B48)&lt;NbCompetenceAvance+43,'C&amp;T&amp;E'!AA6," ")</f>
        <v>Connaissances générales (Pays perdu)</v>
      </c>
      <c r="C48" s="503"/>
      <c r="D48" s="503"/>
      <c r="E48" s="503"/>
      <c r="F48" s="503"/>
      <c r="G48" s="503"/>
      <c r="H48" s="504"/>
      <c r="I48" s="520" t="str">
        <f t="shared" ca="1" si="3"/>
        <v>Int</v>
      </c>
      <c r="J48" s="449"/>
      <c r="K48" s="366" t="str">
        <f t="shared" ca="1" si="4"/>
        <v>X</v>
      </c>
      <c r="L48" s="367" t="str">
        <f t="shared" ca="1" si="5"/>
        <v/>
      </c>
      <c r="M48" s="367" t="str">
        <f t="shared" ca="1" si="6"/>
        <v/>
      </c>
      <c r="N48" s="445"/>
      <c r="O48" s="521"/>
      <c r="P48" s="480">
        <f ca="1">IF(I48="",0,IF(K48="X",LOOKUP(I48,MISC!$AB$1:$AJ$1,MISC!$AB$2:$AJ$2),LOOKUP(I48,MISC!$AB$1:$AJ$1,MISC!$AB$2:$AJ$2)*0.5))+IF(M48="X",20,IF(L48="X",10,0))+N48</f>
        <v>40</v>
      </c>
      <c r="Q48" s="481"/>
      <c r="R48" s="353"/>
      <c r="S48" s="595" t="str">
        <f>IF(NbArme&gt;0,'C&amp;T&amp;E'!AA118," ")</f>
        <v xml:space="preserve"> </v>
      </c>
      <c r="T48" s="562"/>
      <c r="U48" s="562"/>
      <c r="V48" s="562"/>
      <c r="W48" s="562"/>
      <c r="X48" s="563"/>
      <c r="Y48" s="624" t="str">
        <f>IF(NbArme&gt;0,CONCATENATE("D10 + "&amp;LOOKUP(S48,Armes!$B$1:$AR$1,Armes!$B$3:$AR$3))," ")</f>
        <v xml:space="preserve"> </v>
      </c>
      <c r="Z48" s="625"/>
      <c r="AA48" s="562" t="str">
        <f>LOOKUP(S48,Armes!$B$1:$AR$1,Armes!$B$4:$AR$4)</f>
        <v xml:space="preserve"> </v>
      </c>
      <c r="AB48" s="562"/>
      <c r="AC48" s="562" t="str">
        <f>LOOKUP(S48,Armes!$B$1:$AR$1,Armes!$B$5:$AR$5)</f>
        <v xml:space="preserve"> </v>
      </c>
      <c r="AD48" s="562"/>
      <c r="AE48" s="562"/>
      <c r="AF48" s="562" t="str">
        <f>LOOKUP(S48,Armes!$B$1:$AR$1,Armes!$B$6:$AR$6)</f>
        <v xml:space="preserve"> </v>
      </c>
      <c r="AG48" s="562"/>
      <c r="AH48" s="562"/>
      <c r="AI48" s="562"/>
      <c r="AJ48" s="562" t="str">
        <f>LOOKUP(S48,Armes!$B$1:$AR$1,Armes!$B$10:$AR$10)</f>
        <v xml:space="preserve"> </v>
      </c>
      <c r="AK48" s="562"/>
      <c r="AL48" s="562"/>
      <c r="AM48" s="562"/>
      <c r="AN48" s="562"/>
      <c r="AO48" s="563"/>
      <c r="AP48" s="354"/>
    </row>
    <row r="49" spans="1:42" ht="18" customHeight="1">
      <c r="A49" s="352"/>
      <c r="B49" s="502" t="str">
        <f ca="1">IF(ROW(B49)&lt;NbCompetenceAvance+43,'C&amp;T&amp;E'!AA7," ")</f>
        <v>Connaissances générales (Tilée)</v>
      </c>
      <c r="C49" s="503"/>
      <c r="D49" s="503"/>
      <c r="E49" s="503"/>
      <c r="F49" s="503"/>
      <c r="G49" s="503"/>
      <c r="H49" s="504"/>
      <c r="I49" s="520" t="str">
        <f t="shared" ca="1" si="3"/>
        <v>Int</v>
      </c>
      <c r="J49" s="449"/>
      <c r="K49" s="366" t="str">
        <f t="shared" ca="1" si="4"/>
        <v>X</v>
      </c>
      <c r="L49" s="367" t="str">
        <f t="shared" ca="1" si="5"/>
        <v/>
      </c>
      <c r="M49" s="367" t="str">
        <f t="shared" ca="1" si="6"/>
        <v/>
      </c>
      <c r="N49" s="445"/>
      <c r="O49" s="521"/>
      <c r="P49" s="480">
        <f ca="1">IF(I49="",0,IF(K49="X",LOOKUP(I49,MISC!$AB$1:$AJ$1,MISC!$AB$2:$AJ$2),LOOKUP(I49,MISC!$AB$1:$AJ$1,MISC!$AB$2:$AJ$2)*0.5))+IF(M49="X",20,IF(L49="X",10,0))+N49</f>
        <v>40</v>
      </c>
      <c r="Q49" s="481"/>
      <c r="R49" s="353"/>
      <c r="S49" s="574" t="str">
        <f>IF(NbArme&gt;1,'C&amp;T&amp;E'!AA119," ")</f>
        <v xml:space="preserve"> </v>
      </c>
      <c r="T49" s="575"/>
      <c r="U49" s="575"/>
      <c r="V49" s="575"/>
      <c r="W49" s="575"/>
      <c r="X49" s="576"/>
      <c r="Y49" s="572" t="str">
        <f>IF(NbArme&gt;1,CONCATENATE("D10 + "&amp;LOOKUP(S49,Armes!$B$1:$AR$1,Armes!$B$3:$AR$3))," ")</f>
        <v xml:space="preserve"> </v>
      </c>
      <c r="Z49" s="573"/>
      <c r="AA49" s="391" t="str">
        <f>LOOKUP(S49,Armes!$B$1:$AR$1,Armes!$B$4:$AR$4)</f>
        <v xml:space="preserve"> </v>
      </c>
      <c r="AB49" s="391"/>
      <c r="AC49" s="391" t="str">
        <f>LOOKUP(S49,Armes!$B$1:$AR$1,Armes!$B$5:$AR$5)</f>
        <v xml:space="preserve"> </v>
      </c>
      <c r="AD49" s="391"/>
      <c r="AE49" s="391"/>
      <c r="AF49" s="391" t="str">
        <f>LOOKUP(S49,Armes!$B$1:$AR$1,Armes!$B$6:$AR$6)</f>
        <v xml:space="preserve"> </v>
      </c>
      <c r="AG49" s="391"/>
      <c r="AH49" s="391"/>
      <c r="AI49" s="391"/>
      <c r="AJ49" s="391" t="str">
        <f>LOOKUP(S49,Armes!$B$1:$AR$1,Armes!$B$10:$AR$10)</f>
        <v xml:space="preserve"> </v>
      </c>
      <c r="AK49" s="391"/>
      <c r="AL49" s="391"/>
      <c r="AM49" s="391"/>
      <c r="AN49" s="391"/>
      <c r="AO49" s="392"/>
      <c r="AP49" s="354"/>
    </row>
    <row r="50" spans="1:42" ht="19.5" customHeight="1">
      <c r="A50" s="352"/>
      <c r="B50" s="502" t="str">
        <f ca="1">IF(ROW(B50)&lt;NbCompetenceAvance+43,'C&amp;T&amp;E'!AA8," ")</f>
        <v>Esquive</v>
      </c>
      <c r="C50" s="503"/>
      <c r="D50" s="503"/>
      <c r="E50" s="503"/>
      <c r="F50" s="503"/>
      <c r="G50" s="503"/>
      <c r="H50" s="504"/>
      <c r="I50" s="520" t="str">
        <f t="shared" ca="1" si="3"/>
        <v>Ag</v>
      </c>
      <c r="J50" s="449"/>
      <c r="K50" s="366" t="str">
        <f t="shared" ca="1" si="4"/>
        <v>X</v>
      </c>
      <c r="L50" s="367" t="str">
        <f t="shared" ca="1" si="5"/>
        <v/>
      </c>
      <c r="M50" s="367" t="str">
        <f t="shared" ca="1" si="6"/>
        <v/>
      </c>
      <c r="N50" s="445"/>
      <c r="O50" s="521"/>
      <c r="P50" s="480">
        <f ca="1">IF(I50="",0,IF(K50="X",LOOKUP(I50,MISC!$AB$1:$AJ$1,MISC!$AB$2:$AJ$2),LOOKUP(I50,MISC!$AB$1:$AJ$1,MISC!$AB$2:$AJ$2)*0.5))+IF(M50="X",20,IF(L50="X",10,0))+N50</f>
        <v>43</v>
      </c>
      <c r="Q50" s="481"/>
      <c r="R50" s="353"/>
      <c r="S50" s="574" t="str">
        <f>IF(NbArme&gt;2,'C&amp;T&amp;E'!AA120," ")</f>
        <v xml:space="preserve"> </v>
      </c>
      <c r="T50" s="575"/>
      <c r="U50" s="575"/>
      <c r="V50" s="575"/>
      <c r="W50" s="575"/>
      <c r="X50" s="576"/>
      <c r="Y50" s="572" t="str">
        <f>IF(NbArme&gt;2,CONCATENATE("D10 + "&amp;LOOKUP(S50,Armes!$B$1:$AR$1,Armes!$B$3:$AR$3))," ")</f>
        <v xml:space="preserve"> </v>
      </c>
      <c r="Z50" s="573"/>
      <c r="AA50" s="391" t="str">
        <f>LOOKUP(S50,Armes!$B$1:$AR$1,Armes!$B$4:$AR$4)</f>
        <v xml:space="preserve"> </v>
      </c>
      <c r="AB50" s="391"/>
      <c r="AC50" s="391" t="str">
        <f>LOOKUP(S50,Armes!$B$1:$AR$1,Armes!$B$5:$AR$5)</f>
        <v xml:space="preserve"> </v>
      </c>
      <c r="AD50" s="391"/>
      <c r="AE50" s="391"/>
      <c r="AF50" s="391" t="str">
        <f>LOOKUP(S50,Armes!$B$1:$AR$1,Armes!$B$6:$AR$6)</f>
        <v xml:space="preserve"> </v>
      </c>
      <c r="AG50" s="391"/>
      <c r="AH50" s="391"/>
      <c r="AI50" s="391"/>
      <c r="AJ50" s="391" t="str">
        <f>LOOKUP(S50,Armes!$B$1:$AR$1,Armes!$B$10:$AR$10)</f>
        <v xml:space="preserve"> </v>
      </c>
      <c r="AK50" s="391"/>
      <c r="AL50" s="391"/>
      <c r="AM50" s="391"/>
      <c r="AN50" s="391"/>
      <c r="AO50" s="392"/>
      <c r="AP50" s="354"/>
    </row>
    <row r="51" spans="1:42" ht="18" customHeight="1">
      <c r="A51" s="352"/>
      <c r="B51" s="502" t="str">
        <f ca="1">IF(ROW(B51)&lt;NbCompetenceAvance+43,'C&amp;T&amp;E'!AA9," ")</f>
        <v>Langue (Bretonnien)</v>
      </c>
      <c r="C51" s="503"/>
      <c r="D51" s="503"/>
      <c r="E51" s="503"/>
      <c r="F51" s="503"/>
      <c r="G51" s="503"/>
      <c r="H51" s="504"/>
      <c r="I51" s="520" t="str">
        <f t="shared" ca="1" si="3"/>
        <v>Int</v>
      </c>
      <c r="J51" s="449"/>
      <c r="K51" s="366" t="str">
        <f t="shared" ca="1" si="4"/>
        <v>X</v>
      </c>
      <c r="L51" s="367" t="str">
        <f t="shared" ca="1" si="5"/>
        <v>X</v>
      </c>
      <c r="M51" s="367" t="str">
        <f t="shared" ca="1" si="6"/>
        <v/>
      </c>
      <c r="N51" s="445"/>
      <c r="O51" s="521"/>
      <c r="P51" s="480">
        <f ca="1">IF(I51="",0,IF(K51="X",LOOKUP(I51,MISC!$AB$1:$AJ$1,MISC!$AB$2:$AJ$2),LOOKUP(I51,MISC!$AB$1:$AJ$1,MISC!$AB$2:$AJ$2)*0.5))+IF(M51="X",20,IF(L51="X",10,0))+N51</f>
        <v>50</v>
      </c>
      <c r="Q51" s="481"/>
      <c r="R51" s="353"/>
      <c r="S51" s="574" t="str">
        <f>IF(NbArme&gt;3,'C&amp;T&amp;E'!AA121," ")</f>
        <v xml:space="preserve"> </v>
      </c>
      <c r="T51" s="575"/>
      <c r="U51" s="575"/>
      <c r="V51" s="575"/>
      <c r="W51" s="575"/>
      <c r="X51" s="576"/>
      <c r="Y51" s="572" t="str">
        <f>IF(NbArme&gt;3,CONCATENATE("D10 + "&amp;LOOKUP(S51,Armes!$B$1:$AR$1,Armes!$B$3:$AR$3))," ")</f>
        <v xml:space="preserve"> </v>
      </c>
      <c r="Z51" s="573"/>
      <c r="AA51" s="391" t="str">
        <f>LOOKUP(S51,Armes!$B$1:$AR$1,Armes!$B$4:$AR$4)</f>
        <v xml:space="preserve"> </v>
      </c>
      <c r="AB51" s="391"/>
      <c r="AC51" s="391" t="str">
        <f>LOOKUP(S51,Armes!$B$1:$AR$1,Armes!$B$5:$AR$5)</f>
        <v xml:space="preserve"> </v>
      </c>
      <c r="AD51" s="391"/>
      <c r="AE51" s="391"/>
      <c r="AF51" s="391" t="str">
        <f>LOOKUP(S51,Armes!$B$1:$AR$1,Armes!$B$6:$AR$6)</f>
        <v xml:space="preserve"> </v>
      </c>
      <c r="AG51" s="391"/>
      <c r="AH51" s="391"/>
      <c r="AI51" s="391"/>
      <c r="AJ51" s="391" t="str">
        <f>LOOKUP(S51,Armes!$B$1:$AR$1,Armes!$B$10:$AR$10)</f>
        <v xml:space="preserve"> </v>
      </c>
      <c r="AK51" s="391"/>
      <c r="AL51" s="391"/>
      <c r="AM51" s="391"/>
      <c r="AN51" s="391"/>
      <c r="AO51" s="392"/>
      <c r="AP51" s="354"/>
    </row>
    <row r="52" spans="1:42" ht="18" customHeight="1">
      <c r="A52" s="352"/>
      <c r="B52" s="502" t="str">
        <f ca="1">IF(ROW(B52)&lt;NbCompetenceAvance+43,'C&amp;T&amp;E'!AA10," ")</f>
        <v>Langue (Norsce)</v>
      </c>
      <c r="C52" s="503"/>
      <c r="D52" s="503"/>
      <c r="E52" s="503"/>
      <c r="F52" s="503"/>
      <c r="G52" s="503"/>
      <c r="H52" s="504"/>
      <c r="I52" s="520" t="str">
        <f t="shared" ca="1" si="3"/>
        <v>Int</v>
      </c>
      <c r="J52" s="449"/>
      <c r="K52" s="366" t="str">
        <f t="shared" ca="1" si="4"/>
        <v>X</v>
      </c>
      <c r="L52" s="367" t="str">
        <f t="shared" ca="1" si="5"/>
        <v/>
      </c>
      <c r="M52" s="367" t="str">
        <f t="shared" ca="1" si="6"/>
        <v/>
      </c>
      <c r="N52" s="445"/>
      <c r="O52" s="521"/>
      <c r="P52" s="480">
        <f ca="1">IF(I52="",0,IF(K52="X",LOOKUP(I52,MISC!$AB$1:$AJ$1,MISC!$AB$2:$AJ$2),LOOKUP(I52,MISC!$AB$1:$AJ$1,MISC!$AB$2:$AJ$2)*0.5))+IF(M52="X",20,IF(L52="X",10,0))+N52</f>
        <v>40</v>
      </c>
      <c r="Q52" s="481"/>
      <c r="R52" s="353"/>
      <c r="S52" s="574" t="str">
        <f>IF(NbArme&gt;4,'C&amp;T&amp;E'!AA122," ")</f>
        <v xml:space="preserve"> </v>
      </c>
      <c r="T52" s="575"/>
      <c r="U52" s="575"/>
      <c r="V52" s="575"/>
      <c r="W52" s="575"/>
      <c r="X52" s="576"/>
      <c r="Y52" s="572" t="str">
        <f>IF(NbArme&gt;4,CONCATENATE("D10 + "&amp;LOOKUP(S52,Armes!$B$1:$AR$1,Armes!$B$3:$AR$3))," ")</f>
        <v xml:space="preserve"> </v>
      </c>
      <c r="Z52" s="573"/>
      <c r="AA52" s="391" t="str">
        <f>LOOKUP(S52,Armes!$B$1:$AR$1,Armes!$B$4:$AR$4)</f>
        <v xml:space="preserve"> </v>
      </c>
      <c r="AB52" s="391"/>
      <c r="AC52" s="391" t="str">
        <f>LOOKUP(S52,Armes!$B$1:$AR$1,Armes!$B$5:$AR$5)</f>
        <v xml:space="preserve"> </v>
      </c>
      <c r="AD52" s="391"/>
      <c r="AE52" s="391"/>
      <c r="AF52" s="391" t="str">
        <f>LOOKUP(S52,Armes!$B$1:$AR$1,Armes!$B$6:$AR$6)</f>
        <v xml:space="preserve"> </v>
      </c>
      <c r="AG52" s="391"/>
      <c r="AH52" s="391"/>
      <c r="AI52" s="391"/>
      <c r="AJ52" s="391" t="str">
        <f>LOOKUP(S52,Armes!$B$1:$AR$1,Armes!$B$10:$AR$10)</f>
        <v xml:space="preserve"> </v>
      </c>
      <c r="AK52" s="391"/>
      <c r="AL52" s="391"/>
      <c r="AM52" s="391"/>
      <c r="AN52" s="391"/>
      <c r="AO52" s="392"/>
      <c r="AP52" s="354"/>
    </row>
    <row r="53" spans="1:42" ht="18.75" customHeight="1" thickBot="1">
      <c r="A53" s="352"/>
      <c r="B53" s="502" t="str">
        <f ca="1">IF(ROW(B53)&lt;NbCompetenceAvance+43,'C&amp;T&amp;E'!AA11," ")</f>
        <v>Langue (Tilée)</v>
      </c>
      <c r="C53" s="503"/>
      <c r="D53" s="503"/>
      <c r="E53" s="503"/>
      <c r="F53" s="503"/>
      <c r="G53" s="503"/>
      <c r="H53" s="504"/>
      <c r="I53" s="520" t="str">
        <f t="shared" ca="1" si="3"/>
        <v>Int</v>
      </c>
      <c r="J53" s="449"/>
      <c r="K53" s="366" t="str">
        <f t="shared" ca="1" si="4"/>
        <v>X</v>
      </c>
      <c r="L53" s="367" t="str">
        <f t="shared" ca="1" si="5"/>
        <v/>
      </c>
      <c r="M53" s="367" t="str">
        <f t="shared" ca="1" si="6"/>
        <v/>
      </c>
      <c r="N53" s="445"/>
      <c r="O53" s="521"/>
      <c r="P53" s="480">
        <f ca="1">IF(I53="",0,IF(K53="X",LOOKUP(I53,MISC!$AB$1:$AJ$1,MISC!$AB$2:$AJ$2),LOOKUP(I53,MISC!$AB$1:$AJ$1,MISC!$AB$2:$AJ$2)*0.5))+IF(M53="X",20,IF(L53="X",10,0))+N53</f>
        <v>40</v>
      </c>
      <c r="Q53" s="481"/>
      <c r="R53" s="353"/>
      <c r="S53" s="393" t="str">
        <f>IF(NbArme&gt;5,'C&amp;T&amp;E'!AA123," ")</f>
        <v xml:space="preserve"> </v>
      </c>
      <c r="T53" s="394"/>
      <c r="U53" s="394"/>
      <c r="V53" s="394"/>
      <c r="W53" s="394"/>
      <c r="X53" s="395"/>
      <c r="Y53" s="396" t="str">
        <f>IF(NbArme&gt;5,CONCATENATE("D10 + "&amp;LOOKUP(S53,Armes!$B$1:$AR$1,Armes!$B$3:$AR$3))," ")</f>
        <v xml:space="preserve"> </v>
      </c>
      <c r="Z53" s="397"/>
      <c r="AA53" s="398" t="str">
        <f>LOOKUP(S53,Armes!$B$1:$AR$1,Armes!$B$4:$AR$4)</f>
        <v xml:space="preserve"> </v>
      </c>
      <c r="AB53" s="398"/>
      <c r="AC53" s="398" t="str">
        <f>LOOKUP(S53,Armes!$B$1:$AR$1,Armes!$B$5:$AR$5)</f>
        <v xml:space="preserve"> </v>
      </c>
      <c r="AD53" s="398"/>
      <c r="AE53" s="398"/>
      <c r="AF53" s="398" t="str">
        <f>LOOKUP(S53,Armes!$B$1:$AR$1,Armes!$B$6:$AR$6)</f>
        <v xml:space="preserve"> </v>
      </c>
      <c r="AG53" s="398"/>
      <c r="AH53" s="398"/>
      <c r="AI53" s="398"/>
      <c r="AJ53" s="398" t="str">
        <f>LOOKUP(S53,Armes!$B$1:$AR$1,Armes!$B$10:$AR$10)</f>
        <v xml:space="preserve"> </v>
      </c>
      <c r="AK53" s="398"/>
      <c r="AL53" s="398"/>
      <c r="AM53" s="398"/>
      <c r="AN53" s="398"/>
      <c r="AO53" s="399"/>
      <c r="AP53" s="354"/>
    </row>
    <row r="54" spans="1:42" ht="18" customHeight="1">
      <c r="A54" s="352"/>
      <c r="B54" s="502" t="str">
        <f ca="1">IF(ROW(B54)&lt;NbCompetenceAvance+43,'C&amp;T&amp;E'!AA12," ")</f>
        <v>Navigation</v>
      </c>
      <c r="C54" s="503"/>
      <c r="D54" s="503"/>
      <c r="E54" s="503"/>
      <c r="F54" s="503"/>
      <c r="G54" s="503"/>
      <c r="H54" s="504"/>
      <c r="I54" s="520" t="str">
        <f t="shared" ca="1" si="3"/>
        <v>Int</v>
      </c>
      <c r="J54" s="449"/>
      <c r="K54" s="366" t="str">
        <f t="shared" ca="1" si="4"/>
        <v>X</v>
      </c>
      <c r="L54" s="367" t="str">
        <f t="shared" ca="1" si="5"/>
        <v/>
      </c>
      <c r="M54" s="367" t="str">
        <f t="shared" ca="1" si="6"/>
        <v/>
      </c>
      <c r="N54" s="445"/>
      <c r="O54" s="521"/>
      <c r="P54" s="480">
        <f ca="1">IF(I54="",0,IF(K54="X",LOOKUP(I54,MISC!$AB$1:$AJ$1,MISC!$AB$2:$AJ$2),LOOKUP(I54,MISC!$AB$1:$AJ$1,MISC!$AB$2:$AJ$2)*0.5))+IF(M54="X",20,IF(L54="X",10,0))+N54</f>
        <v>40</v>
      </c>
      <c r="Q54" s="481"/>
      <c r="R54" s="353"/>
      <c r="AJ54" s="370"/>
      <c r="AK54" s="370"/>
      <c r="AL54" s="370"/>
      <c r="AM54" s="370"/>
      <c r="AN54" s="370"/>
      <c r="AO54" s="370"/>
      <c r="AP54" s="354"/>
    </row>
    <row r="55" spans="1:42" ht="18" customHeight="1">
      <c r="A55" s="352"/>
      <c r="B55" s="502" t="str">
        <f ca="1">IF(ROW(B55)&lt;NbCompetenceAvance+43,'C&amp;T&amp;E'!AA13," ")</f>
        <v>Baratin</v>
      </c>
      <c r="C55" s="503"/>
      <c r="D55" s="503"/>
      <c r="E55" s="503"/>
      <c r="F55" s="503"/>
      <c r="G55" s="503"/>
      <c r="H55" s="504"/>
      <c r="I55" s="520" t="str">
        <f t="shared" ca="1" si="3"/>
        <v>Soc</v>
      </c>
      <c r="J55" s="449"/>
      <c r="K55" s="366" t="str">
        <f t="shared" ca="1" si="4"/>
        <v>X</v>
      </c>
      <c r="L55" s="367" t="str">
        <f t="shared" ca="1" si="5"/>
        <v/>
      </c>
      <c r="M55" s="367" t="str">
        <f t="shared" ca="1" si="6"/>
        <v/>
      </c>
      <c r="N55" s="445"/>
      <c r="O55" s="521"/>
      <c r="P55" s="480">
        <f ca="1">IF(I55="",0,IF(K55="X",LOOKUP(I55,MISC!$AB$1:$AJ$1,MISC!$AB$2:$AJ$2),LOOKUP(I55,MISC!$AB$1:$AJ$1,MISC!$AB$2:$AJ$2)*0.5))+IF(M55="X",20,IF(L55="X",10,0))+N55</f>
        <v>49</v>
      </c>
      <c r="Q55" s="481"/>
      <c r="R55" s="353"/>
      <c r="AJ55" s="370"/>
      <c r="AK55" s="370"/>
      <c r="AL55" s="370"/>
      <c r="AM55" s="370"/>
      <c r="AN55" s="370"/>
      <c r="AO55" s="370"/>
      <c r="AP55" s="354"/>
    </row>
    <row r="56" spans="1:42" ht="18" customHeight="1" thickBot="1">
      <c r="A56" s="352"/>
      <c r="B56" s="502" t="str">
        <f ca="1">IF(ROW(B56)&lt;NbCompetenceAvance+43,'C&amp;T&amp;E'!AA14," ")</f>
        <v>Connaissances académique (Généaologie/Héraldique)</v>
      </c>
      <c r="C56" s="503"/>
      <c r="D56" s="503"/>
      <c r="E56" s="503"/>
      <c r="F56" s="503"/>
      <c r="G56" s="503"/>
      <c r="H56" s="504"/>
      <c r="I56" s="520" t="str">
        <f t="shared" ca="1" si="3"/>
        <v>Int</v>
      </c>
      <c r="J56" s="449"/>
      <c r="K56" s="366" t="str">
        <f t="shared" ca="1" si="4"/>
        <v>X</v>
      </c>
      <c r="L56" s="367" t="str">
        <f t="shared" ca="1" si="5"/>
        <v/>
      </c>
      <c r="M56" s="367" t="str">
        <f t="shared" ca="1" si="6"/>
        <v/>
      </c>
      <c r="N56" s="445"/>
      <c r="O56" s="521"/>
      <c r="P56" s="480">
        <f ca="1">IF(I56="",0,IF(K56="X",LOOKUP(I56,MISC!$AB$1:$AJ$1,MISC!$AB$2:$AJ$2),LOOKUP(I56,MISC!$AB$1:$AJ$1,MISC!$AB$2:$AJ$2)*0.5))+IF(M56="X",20,IF(L56="X",10,0))+N56</f>
        <v>40</v>
      </c>
      <c r="Q56" s="481"/>
      <c r="R56" s="353"/>
      <c r="AJ56" s="353"/>
      <c r="AK56" s="353"/>
      <c r="AL56" s="353"/>
      <c r="AM56" s="353"/>
      <c r="AN56" s="353"/>
      <c r="AO56" s="353"/>
      <c r="AP56" s="354"/>
    </row>
    <row r="57" spans="1:42" ht="18" customHeight="1" thickBot="1">
      <c r="A57" s="352"/>
      <c r="B57" s="502" t="str">
        <f ca="1">IF(ROW(B57)&lt;NbCompetenceAvance+43,'C&amp;T&amp;E'!AA15," ")</f>
        <v xml:space="preserve"> </v>
      </c>
      <c r="C57" s="503"/>
      <c r="D57" s="503"/>
      <c r="E57" s="503"/>
      <c r="F57" s="503"/>
      <c r="G57" s="503"/>
      <c r="H57" s="504"/>
      <c r="I57" s="520" t="str">
        <f t="shared" ca="1" si="3"/>
        <v/>
      </c>
      <c r="J57" s="449"/>
      <c r="K57" s="366" t="str">
        <f t="shared" ca="1" si="4"/>
        <v/>
      </c>
      <c r="L57" s="367" t="str">
        <f t="shared" ca="1" si="5"/>
        <v/>
      </c>
      <c r="M57" s="367" t="str">
        <f t="shared" ca="1" si="6"/>
        <v/>
      </c>
      <c r="N57" s="445"/>
      <c r="O57" s="521"/>
      <c r="P57" s="480">
        <f ca="1">IF(I57="",0,IF(K57="X",LOOKUP(I57,MISC!$AB$1:$AJ$1,MISC!$AB$2:$AJ$2),LOOKUP(I57,MISC!$AB$1:$AJ$1,MISC!$AB$2:$AJ$2)*0.5))+IF(M57="X",20,IF(L57="X",10,0))+N57</f>
        <v>0</v>
      </c>
      <c r="Q57" s="481"/>
      <c r="R57" s="353"/>
      <c r="S57" s="626" t="s">
        <v>646</v>
      </c>
      <c r="T57" s="627"/>
      <c r="U57" s="627"/>
      <c r="V57" s="627"/>
      <c r="W57" s="628"/>
      <c r="X57" s="613" t="s">
        <v>649</v>
      </c>
      <c r="Y57" s="614"/>
      <c r="Z57" s="614"/>
      <c r="AA57" s="587"/>
      <c r="AB57" s="586" t="s">
        <v>654</v>
      </c>
      <c r="AC57" s="587"/>
      <c r="AD57" s="370"/>
      <c r="AE57" s="577" t="s">
        <v>924</v>
      </c>
      <c r="AF57" s="578"/>
      <c r="AG57" s="578"/>
      <c r="AH57" s="578"/>
      <c r="AI57" s="579"/>
      <c r="AJ57" s="353"/>
      <c r="AK57" s="353"/>
      <c r="AL57" s="353"/>
      <c r="AM57" s="353"/>
      <c r="AN57" s="353"/>
      <c r="AO57" s="353"/>
      <c r="AP57" s="354"/>
    </row>
    <row r="58" spans="1:42" ht="18.75" thickBot="1">
      <c r="A58" s="352"/>
      <c r="B58" s="502" t="str">
        <f ca="1">IF(ROW(B58)&lt;NbCompetenceAvance+43,'C&amp;T&amp;E'!AA16," ")</f>
        <v xml:space="preserve"> </v>
      </c>
      <c r="C58" s="503"/>
      <c r="D58" s="503"/>
      <c r="E58" s="503"/>
      <c r="F58" s="503"/>
      <c r="G58" s="503"/>
      <c r="H58" s="504"/>
      <c r="I58" s="520" t="str">
        <f t="shared" ca="1" si="3"/>
        <v/>
      </c>
      <c r="J58" s="449"/>
      <c r="K58" s="366" t="str">
        <f t="shared" ca="1" si="4"/>
        <v/>
      </c>
      <c r="L58" s="367" t="str">
        <f t="shared" ca="1" si="5"/>
        <v/>
      </c>
      <c r="M58" s="367" t="str">
        <f t="shared" ca="1" si="6"/>
        <v/>
      </c>
      <c r="N58" s="445"/>
      <c r="O58" s="521"/>
      <c r="P58" s="480">
        <f ca="1">IF(I58="",0,IF(K58="X",LOOKUP(I58,MISC!$AB$1:$AJ$1,MISC!$AB$2:$AJ$2),LOOKUP(I58,MISC!$AB$1:$AJ$1,MISC!$AB$2:$AJ$2)*0.5))+IF(M58="X",20,IF(L58="X",10,0))+N58</f>
        <v>0</v>
      </c>
      <c r="Q58" s="481"/>
      <c r="R58" s="353"/>
      <c r="S58" s="564" t="s">
        <v>647</v>
      </c>
      <c r="T58" s="565"/>
      <c r="U58" s="565"/>
      <c r="V58" s="565"/>
      <c r="W58" s="566"/>
      <c r="X58" s="615" t="s">
        <v>655</v>
      </c>
      <c r="Y58" s="616"/>
      <c r="Z58" s="616"/>
      <c r="AA58" s="617"/>
      <c r="AB58" s="588">
        <f ca="1">ArmureTete</f>
        <v>0</v>
      </c>
      <c r="AC58" s="589"/>
      <c r="AD58" s="370"/>
      <c r="AE58" s="580" t="str">
        <f>CONCATENATE(SUM(Combo!B122:E122)&amp;" CO")</f>
        <v>0 CO</v>
      </c>
      <c r="AF58" s="581"/>
      <c r="AG58" s="581"/>
      <c r="AH58" s="581"/>
      <c r="AI58" s="582"/>
      <c r="AJ58" s="353"/>
    </row>
    <row r="59" spans="1:42" ht="18">
      <c r="A59" s="352"/>
      <c r="B59" s="502" t="str">
        <f ca="1">IF(ROW(B59)&lt;NbCompetenceAvance+43,'C&amp;T&amp;E'!AA17," ")</f>
        <v xml:space="preserve"> </v>
      </c>
      <c r="C59" s="503"/>
      <c r="D59" s="503"/>
      <c r="E59" s="503"/>
      <c r="F59" s="503"/>
      <c r="G59" s="503"/>
      <c r="H59" s="504"/>
      <c r="I59" s="520" t="str">
        <f t="shared" ca="1" si="3"/>
        <v/>
      </c>
      <c r="J59" s="449"/>
      <c r="K59" s="366" t="str">
        <f t="shared" ca="1" si="4"/>
        <v/>
      </c>
      <c r="L59" s="367" t="str">
        <f t="shared" ca="1" si="5"/>
        <v/>
      </c>
      <c r="M59" s="367" t="str">
        <f t="shared" ca="1" si="6"/>
        <v/>
      </c>
      <c r="N59" s="445"/>
      <c r="O59" s="521"/>
      <c r="P59" s="480">
        <f ca="1">IF(I59="",0,IF(K59="X",LOOKUP(I59,MISC!$AB$1:$AJ$1,MISC!$AB$2:$AJ$2),LOOKUP(I59,MISC!$AB$1:$AJ$1,MISC!$AB$2:$AJ$2)*0.5))+IF(M59="X",20,IF(L59="X",10,0))+N59</f>
        <v>0</v>
      </c>
      <c r="Q59" s="481"/>
      <c r="R59" s="353"/>
      <c r="S59" s="583" t="s">
        <v>650</v>
      </c>
      <c r="T59" s="584"/>
      <c r="U59" s="584"/>
      <c r="V59" s="584"/>
      <c r="W59" s="585"/>
      <c r="X59" s="618" t="s">
        <v>656</v>
      </c>
      <c r="Y59" s="619"/>
      <c r="Z59" s="619"/>
      <c r="AA59" s="620"/>
      <c r="AB59" s="590">
        <f ca="1">ArmureBras</f>
        <v>0</v>
      </c>
      <c r="AC59" s="591"/>
      <c r="AD59" s="370"/>
      <c r="AE59" s="370"/>
      <c r="AF59" s="370"/>
      <c r="AG59" s="370"/>
      <c r="AH59" s="370"/>
      <c r="AI59" s="370"/>
      <c r="AJ59" s="353"/>
    </row>
    <row r="60" spans="1:42" ht="18">
      <c r="A60" s="352"/>
      <c r="B60" s="502" t="str">
        <f ca="1">IF(ROW(B60)&lt;NbCompetenceAvance+43,'C&amp;T&amp;E'!AA18," ")</f>
        <v xml:space="preserve"> </v>
      </c>
      <c r="C60" s="503"/>
      <c r="D60" s="503"/>
      <c r="E60" s="503"/>
      <c r="F60" s="503"/>
      <c r="G60" s="503"/>
      <c r="H60" s="504"/>
      <c r="I60" s="520" t="str">
        <f t="shared" ca="1" si="3"/>
        <v/>
      </c>
      <c r="J60" s="449"/>
      <c r="K60" s="366" t="str">
        <f t="shared" ca="1" si="4"/>
        <v/>
      </c>
      <c r="L60" s="367" t="str">
        <f t="shared" ca="1" si="5"/>
        <v/>
      </c>
      <c r="M60" s="367" t="str">
        <f t="shared" ca="1" si="6"/>
        <v/>
      </c>
      <c r="N60" s="445"/>
      <c r="O60" s="521"/>
      <c r="P60" s="480">
        <f ca="1">IF(I60="",0,IF(K60="X",LOOKUP(I60,MISC!$AB$1:$AJ$1,MISC!$AB$2:$AJ$2),LOOKUP(I60,MISC!$AB$1:$AJ$1,MISC!$AB$2:$AJ$2)*0.5))+IF(M60="X",20,IF(L60="X",10,0))+N60</f>
        <v>0</v>
      </c>
      <c r="Q60" s="481"/>
      <c r="R60" s="353"/>
      <c r="S60" s="583" t="s">
        <v>651</v>
      </c>
      <c r="T60" s="584"/>
      <c r="U60" s="584"/>
      <c r="V60" s="584"/>
      <c r="W60" s="585"/>
      <c r="X60" s="618" t="s">
        <v>657</v>
      </c>
      <c r="Y60" s="619"/>
      <c r="Z60" s="619"/>
      <c r="AA60" s="620"/>
      <c r="AB60" s="590">
        <f ca="1">ArmureBras</f>
        <v>0</v>
      </c>
      <c r="AC60" s="591"/>
      <c r="AD60" s="370"/>
      <c r="AE60" s="370"/>
      <c r="AF60" s="370"/>
      <c r="AG60" s="370"/>
      <c r="AH60" s="370"/>
      <c r="AI60" s="370"/>
      <c r="AJ60" s="353"/>
    </row>
    <row r="61" spans="1:42" ht="18">
      <c r="A61" s="352"/>
      <c r="B61" s="502" t="str">
        <f ca="1">IF(ROW(B61)&lt;NbCompetenceAvance+43,'C&amp;T&amp;E'!AA19," ")</f>
        <v xml:space="preserve"> </v>
      </c>
      <c r="C61" s="503"/>
      <c r="D61" s="503"/>
      <c r="E61" s="503"/>
      <c r="F61" s="503"/>
      <c r="G61" s="503"/>
      <c r="H61" s="504"/>
      <c r="I61" s="520" t="str">
        <f t="shared" ca="1" si="3"/>
        <v/>
      </c>
      <c r="J61" s="449"/>
      <c r="K61" s="366" t="str">
        <f t="shared" ca="1" si="4"/>
        <v/>
      </c>
      <c r="L61" s="367" t="str">
        <f t="shared" ca="1" si="5"/>
        <v/>
      </c>
      <c r="M61" s="367" t="str">
        <f t="shared" ca="1" si="6"/>
        <v/>
      </c>
      <c r="N61" s="445"/>
      <c r="O61" s="521"/>
      <c r="P61" s="480">
        <f ca="1">IF(I61="",0,IF(K61="X",LOOKUP(I61,MISC!$AB$1:$AJ$1,MISC!$AB$2:$AJ$2),LOOKUP(I61,MISC!$AB$1:$AJ$1,MISC!$AB$2:$AJ$2)*0.5))+IF(M61="X",20,IF(L61="X",10,0))+N61</f>
        <v>0</v>
      </c>
      <c r="Q61" s="481"/>
      <c r="R61" s="353"/>
      <c r="S61" s="583" t="s">
        <v>648</v>
      </c>
      <c r="T61" s="584"/>
      <c r="U61" s="584"/>
      <c r="V61" s="584"/>
      <c r="W61" s="585"/>
      <c r="X61" s="618" t="s">
        <v>658</v>
      </c>
      <c r="Y61" s="619"/>
      <c r="Z61" s="619"/>
      <c r="AA61" s="620"/>
      <c r="AB61" s="590">
        <f ca="1">ArmureCorps</f>
        <v>1</v>
      </c>
      <c r="AC61" s="591"/>
      <c r="AD61" s="370"/>
      <c r="AE61" s="370"/>
      <c r="AF61" s="370"/>
      <c r="AG61" s="370"/>
      <c r="AH61" s="370"/>
      <c r="AI61" s="370"/>
      <c r="AJ61" s="353"/>
    </row>
    <row r="62" spans="1:42" ht="18">
      <c r="A62" s="352"/>
      <c r="B62" s="502" t="str">
        <f ca="1">IF(ROW(B62)&lt;NbCompetenceAvance+43,'C&amp;T&amp;E'!AA20," ")</f>
        <v xml:space="preserve"> </v>
      </c>
      <c r="C62" s="503"/>
      <c r="D62" s="503"/>
      <c r="E62" s="503"/>
      <c r="F62" s="503"/>
      <c r="G62" s="503"/>
      <c r="H62" s="504"/>
      <c r="I62" s="520" t="str">
        <f t="shared" ca="1" si="3"/>
        <v/>
      </c>
      <c r="J62" s="449"/>
      <c r="K62" s="366" t="str">
        <f t="shared" ca="1" si="4"/>
        <v/>
      </c>
      <c r="L62" s="367" t="str">
        <f t="shared" ca="1" si="5"/>
        <v/>
      </c>
      <c r="M62" s="367" t="str">
        <f t="shared" ca="1" si="6"/>
        <v/>
      </c>
      <c r="N62" s="445"/>
      <c r="O62" s="521"/>
      <c r="P62" s="480">
        <f ca="1">IF(I62="",0,IF(K62="X",LOOKUP(I62,MISC!$AB$1:$AJ$1,MISC!$AB$2:$AJ$2),LOOKUP(I62,MISC!$AB$1:$AJ$1,MISC!$AB$2:$AJ$2)*0.5))+IF(M62="X",20,IF(L62="X",10,0))+N62</f>
        <v>0</v>
      </c>
      <c r="Q62" s="481"/>
      <c r="R62" s="353"/>
      <c r="S62" s="583" t="s">
        <v>652</v>
      </c>
      <c r="T62" s="584"/>
      <c r="U62" s="584"/>
      <c r="V62" s="584"/>
      <c r="W62" s="585"/>
      <c r="X62" s="618" t="s">
        <v>659</v>
      </c>
      <c r="Y62" s="619"/>
      <c r="Z62" s="619"/>
      <c r="AA62" s="620"/>
      <c r="AB62" s="590">
        <f ca="1">ArmureJambe</f>
        <v>0</v>
      </c>
      <c r="AC62" s="591"/>
      <c r="AD62" s="353"/>
      <c r="AE62" s="353"/>
      <c r="AF62" s="353"/>
      <c r="AG62" s="353"/>
      <c r="AH62" s="353"/>
      <c r="AI62" s="353"/>
      <c r="AJ62" s="353"/>
    </row>
    <row r="63" spans="1:42" ht="18.75" thickBot="1">
      <c r="A63" s="352"/>
      <c r="B63" s="511" t="str">
        <f ca="1">IF(ROW(B63)&lt;NbCompetenceAvance+43,'C&amp;T&amp;E'!AA21," ")</f>
        <v xml:space="preserve"> </v>
      </c>
      <c r="C63" s="512"/>
      <c r="D63" s="512"/>
      <c r="E63" s="512"/>
      <c r="F63" s="512"/>
      <c r="G63" s="512"/>
      <c r="H63" s="513"/>
      <c r="I63" s="526" t="str">
        <f t="shared" ca="1" si="3"/>
        <v/>
      </c>
      <c r="J63" s="450"/>
      <c r="K63" s="371" t="str">
        <f t="shared" ca="1" si="4"/>
        <v/>
      </c>
      <c r="L63" s="372" t="str">
        <f t="shared" ca="1" si="5"/>
        <v/>
      </c>
      <c r="M63" s="372" t="str">
        <f t="shared" ca="1" si="6"/>
        <v/>
      </c>
      <c r="N63" s="427"/>
      <c r="O63" s="428"/>
      <c r="P63" s="518">
        <f ca="1">IF(I63="",0,IF(K63="X",LOOKUP(I63,MISC!$AB$1:$AJ$1,MISC!$AB$2:$AJ$2),LOOKUP(I63,MISC!$AB$1:$AJ$1,MISC!$AB$2:$AJ$2)*0.5))+IF(M63="X",20,IF(L63="X",10,0))+N63</f>
        <v>0</v>
      </c>
      <c r="Q63" s="519"/>
      <c r="R63" s="353"/>
      <c r="S63" s="610" t="s">
        <v>653</v>
      </c>
      <c r="T63" s="611"/>
      <c r="U63" s="611"/>
      <c r="V63" s="611"/>
      <c r="W63" s="612"/>
      <c r="X63" s="621" t="s">
        <v>660</v>
      </c>
      <c r="Y63" s="622"/>
      <c r="Z63" s="622"/>
      <c r="AA63" s="623"/>
      <c r="AB63" s="608">
        <f ca="1">ArmureJambe</f>
        <v>0</v>
      </c>
      <c r="AC63" s="609"/>
      <c r="AD63" s="353"/>
      <c r="AE63" s="353"/>
      <c r="AF63" s="353"/>
      <c r="AG63" s="353"/>
      <c r="AH63" s="353"/>
      <c r="AI63" s="353"/>
      <c r="AJ63" s="353"/>
    </row>
    <row r="64" spans="1:42" ht="15.75" thickBot="1">
      <c r="A64" s="373"/>
      <c r="B64" s="514"/>
      <c r="C64" s="514"/>
      <c r="D64" s="514"/>
      <c r="E64" s="514"/>
      <c r="F64" s="514"/>
      <c r="G64" s="514"/>
      <c r="H64" s="514"/>
      <c r="I64" s="514"/>
      <c r="J64" s="514"/>
      <c r="K64" s="374"/>
      <c r="L64" s="374"/>
      <c r="M64" s="374"/>
      <c r="N64" s="514"/>
      <c r="O64" s="514"/>
      <c r="P64" s="527"/>
      <c r="Q64" s="527"/>
      <c r="R64" s="374"/>
      <c r="AJ64" s="374"/>
    </row>
    <row r="65" spans="2:17">
      <c r="B65" s="515"/>
      <c r="C65" s="515"/>
      <c r="D65" s="515"/>
      <c r="E65" s="515"/>
      <c r="F65" s="515"/>
      <c r="G65" s="515"/>
      <c r="H65" s="515"/>
      <c r="I65" s="515"/>
      <c r="J65" s="515"/>
      <c r="K65" s="353"/>
      <c r="L65" s="353"/>
      <c r="M65" s="353"/>
      <c r="N65" s="515"/>
      <c r="O65" s="515"/>
      <c r="P65" s="525"/>
      <c r="Q65" s="525"/>
    </row>
    <row r="66" spans="2:17">
      <c r="B66" s="515"/>
      <c r="C66" s="515"/>
      <c r="D66" s="515"/>
      <c r="E66" s="515"/>
      <c r="F66" s="515"/>
      <c r="G66" s="515"/>
      <c r="H66" s="515"/>
      <c r="I66" s="515"/>
      <c r="J66" s="515"/>
      <c r="K66" s="353"/>
      <c r="L66" s="353"/>
      <c r="M66" s="353"/>
      <c r="N66" s="515"/>
      <c r="O66" s="515"/>
      <c r="P66" s="525"/>
      <c r="Q66" s="525"/>
    </row>
    <row r="67" spans="2:17">
      <c r="B67" s="515"/>
      <c r="C67" s="515"/>
      <c r="D67" s="515"/>
      <c r="E67" s="515"/>
      <c r="F67" s="515"/>
      <c r="G67" s="515"/>
      <c r="H67" s="515"/>
      <c r="I67" s="515"/>
      <c r="J67" s="515"/>
      <c r="K67" s="353"/>
      <c r="L67" s="353"/>
      <c r="M67" s="353"/>
      <c r="N67" s="515"/>
      <c r="O67" s="515"/>
      <c r="P67" s="525"/>
      <c r="Q67" s="525"/>
    </row>
    <row r="68" spans="2:17">
      <c r="B68" s="515"/>
      <c r="C68" s="515"/>
      <c r="D68" s="515"/>
      <c r="E68" s="515"/>
      <c r="F68" s="515"/>
      <c r="G68" s="515"/>
      <c r="H68" s="515"/>
      <c r="I68" s="515"/>
      <c r="J68" s="515"/>
      <c r="K68" s="353"/>
      <c r="L68" s="353"/>
      <c r="M68" s="353"/>
      <c r="N68" s="515"/>
      <c r="O68" s="515"/>
      <c r="P68" s="525"/>
      <c r="Q68" s="525"/>
    </row>
    <row r="69" spans="2:17">
      <c r="B69" s="515"/>
      <c r="C69" s="515"/>
      <c r="D69" s="515"/>
      <c r="E69" s="515"/>
      <c r="F69" s="515"/>
      <c r="G69" s="515"/>
      <c r="H69" s="515"/>
      <c r="I69" s="515"/>
      <c r="J69" s="515"/>
      <c r="K69" s="353"/>
      <c r="L69" s="353"/>
      <c r="M69" s="353"/>
      <c r="N69" s="515"/>
      <c r="O69" s="515"/>
      <c r="P69" s="525"/>
      <c r="Q69" s="525"/>
    </row>
    <row r="70" spans="2:17">
      <c r="B70" s="515"/>
      <c r="C70" s="515"/>
      <c r="D70" s="515"/>
      <c r="E70" s="515"/>
      <c r="F70" s="515"/>
      <c r="G70" s="515"/>
      <c r="H70" s="515"/>
      <c r="I70" s="515"/>
      <c r="J70" s="515"/>
      <c r="K70" s="353"/>
      <c r="L70" s="353"/>
      <c r="M70" s="353"/>
      <c r="N70" s="515"/>
      <c r="O70" s="515"/>
      <c r="P70" s="525"/>
      <c r="Q70" s="525"/>
    </row>
    <row r="71" spans="2:17">
      <c r="B71" s="515"/>
      <c r="C71" s="515"/>
      <c r="D71" s="515"/>
      <c r="E71" s="515"/>
      <c r="F71" s="515"/>
      <c r="G71" s="515"/>
      <c r="H71" s="515"/>
      <c r="I71" s="515"/>
      <c r="J71" s="515"/>
      <c r="K71" s="353"/>
      <c r="L71" s="353"/>
      <c r="M71" s="353"/>
      <c r="N71" s="515"/>
      <c r="O71" s="515"/>
      <c r="P71" s="525"/>
      <c r="Q71" s="525"/>
    </row>
    <row r="72" spans="2:17">
      <c r="B72" s="515"/>
      <c r="C72" s="515"/>
      <c r="D72" s="515"/>
      <c r="E72" s="515"/>
      <c r="F72" s="515"/>
      <c r="G72" s="515"/>
      <c r="H72" s="515"/>
      <c r="I72" s="515"/>
      <c r="J72" s="515"/>
      <c r="K72" s="353"/>
      <c r="L72" s="353"/>
      <c r="M72" s="353"/>
      <c r="N72" s="515"/>
      <c r="O72" s="515"/>
      <c r="P72" s="525"/>
      <c r="Q72" s="525"/>
    </row>
    <row r="73" spans="2:17">
      <c r="B73" s="515"/>
      <c r="C73" s="515"/>
      <c r="D73" s="515"/>
      <c r="E73" s="515"/>
      <c r="F73" s="515"/>
      <c r="G73" s="515"/>
      <c r="H73" s="515"/>
      <c r="I73" s="515"/>
      <c r="J73" s="515"/>
      <c r="K73" s="353"/>
      <c r="L73" s="353"/>
      <c r="M73" s="353"/>
      <c r="N73" s="515"/>
      <c r="O73" s="515"/>
      <c r="P73" s="525"/>
      <c r="Q73" s="525"/>
    </row>
    <row r="74" spans="2:17">
      <c r="B74" s="515"/>
      <c r="C74" s="515"/>
      <c r="D74" s="515"/>
      <c r="E74" s="515"/>
      <c r="F74" s="515"/>
      <c r="G74" s="515"/>
      <c r="H74" s="515"/>
      <c r="I74" s="515"/>
      <c r="J74" s="515"/>
      <c r="K74" s="353"/>
      <c r="L74" s="353"/>
      <c r="M74" s="353"/>
      <c r="N74" s="515"/>
      <c r="O74" s="515"/>
      <c r="P74" s="525"/>
      <c r="Q74" s="525"/>
    </row>
    <row r="75" spans="2:17">
      <c r="B75" s="515"/>
      <c r="C75" s="515"/>
      <c r="D75" s="515"/>
      <c r="E75" s="515"/>
      <c r="F75" s="515"/>
      <c r="G75" s="515"/>
      <c r="H75" s="515"/>
      <c r="I75" s="515"/>
      <c r="J75" s="515"/>
      <c r="K75" s="353"/>
      <c r="L75" s="353"/>
      <c r="M75" s="353"/>
      <c r="N75" s="515"/>
      <c r="O75" s="515"/>
      <c r="P75" s="525"/>
      <c r="Q75" s="525"/>
    </row>
    <row r="76" spans="2:17">
      <c r="B76" s="515"/>
      <c r="C76" s="515"/>
      <c r="D76" s="515"/>
      <c r="E76" s="515"/>
      <c r="F76" s="515"/>
      <c r="G76" s="515"/>
      <c r="H76" s="515"/>
      <c r="I76" s="515"/>
      <c r="J76" s="515"/>
      <c r="K76" s="353"/>
      <c r="L76" s="353"/>
      <c r="M76" s="353"/>
      <c r="N76" s="515"/>
      <c r="O76" s="515"/>
      <c r="P76" s="525"/>
      <c r="Q76" s="525"/>
    </row>
    <row r="77" spans="2:17">
      <c r="B77" s="515"/>
      <c r="C77" s="515"/>
      <c r="D77" s="515"/>
      <c r="E77" s="515"/>
      <c r="F77" s="515"/>
      <c r="G77" s="515"/>
      <c r="H77" s="515"/>
      <c r="I77" s="515"/>
      <c r="J77" s="515"/>
      <c r="K77" s="353"/>
      <c r="L77" s="353"/>
      <c r="M77" s="353"/>
      <c r="N77" s="515"/>
      <c r="O77" s="515"/>
      <c r="P77" s="525"/>
      <c r="Q77" s="525"/>
    </row>
    <row r="78" spans="2:17">
      <c r="B78" s="515"/>
      <c r="C78" s="515"/>
      <c r="D78" s="515"/>
      <c r="E78" s="515"/>
      <c r="F78" s="515"/>
      <c r="G78" s="515"/>
      <c r="H78" s="515"/>
      <c r="I78" s="515"/>
      <c r="J78" s="515"/>
      <c r="K78" s="353"/>
      <c r="L78" s="353"/>
      <c r="M78" s="353"/>
      <c r="N78" s="515"/>
      <c r="O78" s="515"/>
      <c r="P78" s="525"/>
      <c r="Q78" s="525"/>
    </row>
    <row r="79" spans="2:17">
      <c r="B79" s="515"/>
      <c r="C79" s="515"/>
      <c r="D79" s="515"/>
      <c r="E79" s="515"/>
      <c r="F79" s="515"/>
      <c r="G79" s="515"/>
      <c r="H79" s="515"/>
      <c r="I79" s="515"/>
      <c r="J79" s="515"/>
      <c r="K79" s="353"/>
      <c r="L79" s="353"/>
      <c r="M79" s="353"/>
      <c r="N79" s="515"/>
      <c r="O79" s="515"/>
      <c r="P79" s="525"/>
      <c r="Q79" s="525"/>
    </row>
    <row r="80" spans="2:17">
      <c r="B80" s="515"/>
      <c r="C80" s="515"/>
      <c r="D80" s="515"/>
      <c r="E80" s="515"/>
      <c r="F80" s="515"/>
      <c r="G80" s="515"/>
      <c r="H80" s="515"/>
      <c r="I80" s="515"/>
      <c r="J80" s="515"/>
      <c r="K80" s="353"/>
      <c r="L80" s="353"/>
      <c r="M80" s="353"/>
      <c r="N80" s="515"/>
      <c r="O80" s="515"/>
      <c r="P80" s="525"/>
      <c r="Q80" s="525"/>
    </row>
    <row r="81" spans="2:17">
      <c r="B81" s="515"/>
      <c r="C81" s="515"/>
      <c r="D81" s="515"/>
      <c r="E81" s="515"/>
      <c r="F81" s="515"/>
      <c r="G81" s="515"/>
      <c r="H81" s="515"/>
      <c r="I81" s="515"/>
      <c r="J81" s="515"/>
      <c r="K81" s="353"/>
      <c r="L81" s="353"/>
      <c r="M81" s="353"/>
      <c r="N81" s="515"/>
      <c r="O81" s="515"/>
      <c r="P81" s="525"/>
      <c r="Q81" s="525"/>
    </row>
    <row r="82" spans="2:17">
      <c r="B82" s="515"/>
      <c r="C82" s="515"/>
      <c r="D82" s="515"/>
      <c r="E82" s="515"/>
      <c r="F82" s="515"/>
      <c r="G82" s="515"/>
      <c r="H82" s="515"/>
      <c r="I82" s="515"/>
      <c r="J82" s="515"/>
      <c r="K82" s="353"/>
      <c r="L82" s="353"/>
      <c r="M82" s="353"/>
      <c r="N82" s="515"/>
      <c r="O82" s="515"/>
      <c r="P82" s="525"/>
      <c r="Q82" s="525"/>
    </row>
    <row r="83" spans="2:17">
      <c r="B83" s="515"/>
      <c r="C83" s="515"/>
      <c r="D83" s="515"/>
      <c r="E83" s="515"/>
      <c r="F83" s="515"/>
      <c r="G83" s="515"/>
      <c r="H83" s="515"/>
      <c r="I83" s="515"/>
      <c r="J83" s="515"/>
      <c r="K83" s="353"/>
      <c r="L83" s="353"/>
      <c r="M83" s="353"/>
      <c r="N83" s="515"/>
      <c r="O83" s="515"/>
      <c r="P83" s="525"/>
      <c r="Q83" s="525"/>
    </row>
    <row r="84" spans="2:17">
      <c r="B84" s="515"/>
      <c r="C84" s="515"/>
      <c r="D84" s="515"/>
      <c r="E84" s="515"/>
      <c r="F84" s="515"/>
      <c r="G84" s="515"/>
      <c r="H84" s="515"/>
      <c r="I84" s="515"/>
      <c r="J84" s="515"/>
      <c r="K84" s="353"/>
      <c r="L84" s="353"/>
      <c r="M84" s="353"/>
      <c r="N84" s="515"/>
      <c r="O84" s="515"/>
      <c r="P84" s="525"/>
      <c r="Q84" s="525"/>
    </row>
    <row r="85" spans="2:17">
      <c r="B85" s="515"/>
      <c r="C85" s="515"/>
      <c r="D85" s="515"/>
      <c r="E85" s="515"/>
      <c r="F85" s="515"/>
      <c r="G85" s="515"/>
      <c r="H85" s="515"/>
      <c r="I85" s="515"/>
      <c r="J85" s="515"/>
      <c r="K85" s="353"/>
      <c r="L85" s="353"/>
      <c r="M85" s="353"/>
      <c r="N85" s="515"/>
      <c r="O85" s="515"/>
      <c r="P85" s="525"/>
      <c r="Q85" s="525"/>
    </row>
    <row r="86" spans="2:17">
      <c r="B86" s="515"/>
      <c r="C86" s="515"/>
      <c r="D86" s="515"/>
      <c r="E86" s="515"/>
      <c r="F86" s="515"/>
      <c r="G86" s="515"/>
      <c r="H86" s="515"/>
      <c r="I86" s="515"/>
      <c r="J86" s="515"/>
      <c r="K86" s="353"/>
      <c r="L86" s="353"/>
      <c r="M86" s="353"/>
      <c r="N86" s="515"/>
      <c r="O86" s="515"/>
      <c r="P86" s="525"/>
      <c r="Q86" s="525"/>
    </row>
    <row r="87" spans="2:17">
      <c r="B87" s="515"/>
      <c r="C87" s="515"/>
      <c r="D87" s="515"/>
      <c r="E87" s="515"/>
      <c r="F87" s="515"/>
      <c r="G87" s="515"/>
      <c r="H87" s="515"/>
      <c r="I87" s="515"/>
      <c r="J87" s="515"/>
      <c r="K87" s="353"/>
      <c r="L87" s="353"/>
      <c r="M87" s="353"/>
      <c r="N87" s="515"/>
      <c r="O87" s="515"/>
      <c r="P87" s="525"/>
      <c r="Q87" s="525"/>
    </row>
    <row r="88" spans="2:17">
      <c r="B88" s="515"/>
      <c r="C88" s="515"/>
      <c r="D88" s="515"/>
      <c r="E88" s="515"/>
      <c r="F88" s="515"/>
      <c r="G88" s="515"/>
      <c r="H88" s="515"/>
      <c r="I88" s="515"/>
      <c r="J88" s="515"/>
      <c r="K88" s="353"/>
      <c r="L88" s="353"/>
      <c r="M88" s="353"/>
      <c r="N88" s="515"/>
      <c r="O88" s="515"/>
      <c r="P88" s="525"/>
      <c r="Q88" s="525"/>
    </row>
    <row r="89" spans="2:17">
      <c r="B89" s="515"/>
      <c r="C89" s="515"/>
      <c r="D89" s="515"/>
      <c r="E89" s="515"/>
      <c r="F89" s="515"/>
      <c r="G89" s="515"/>
      <c r="H89" s="515"/>
      <c r="I89" s="515"/>
      <c r="J89" s="515"/>
      <c r="K89" s="353"/>
      <c r="L89" s="353"/>
      <c r="M89" s="353"/>
      <c r="N89" s="515"/>
      <c r="O89" s="515"/>
      <c r="P89" s="525"/>
      <c r="Q89" s="525"/>
    </row>
    <row r="90" spans="2:17">
      <c r="B90" s="515"/>
      <c r="C90" s="515"/>
      <c r="D90" s="515"/>
      <c r="E90" s="515"/>
      <c r="F90" s="515"/>
      <c r="G90" s="515"/>
      <c r="H90" s="515"/>
      <c r="I90" s="515"/>
      <c r="J90" s="515"/>
      <c r="K90" s="353"/>
      <c r="L90" s="353"/>
      <c r="M90" s="353"/>
      <c r="N90" s="515"/>
      <c r="O90" s="515"/>
      <c r="P90" s="525"/>
      <c r="Q90" s="525"/>
    </row>
    <row r="91" spans="2:17">
      <c r="B91" s="515"/>
      <c r="C91" s="515"/>
      <c r="D91" s="515"/>
      <c r="E91" s="515"/>
      <c r="F91" s="515"/>
      <c r="G91" s="515"/>
      <c r="H91" s="515"/>
      <c r="I91" s="515"/>
      <c r="J91" s="515"/>
      <c r="K91" s="353"/>
      <c r="L91" s="353"/>
      <c r="M91" s="353"/>
      <c r="N91" s="515"/>
      <c r="O91" s="515"/>
      <c r="P91" s="525"/>
      <c r="Q91" s="525"/>
    </row>
    <row r="92" spans="2:17">
      <c r="B92" s="515"/>
      <c r="C92" s="515"/>
      <c r="D92" s="515"/>
      <c r="E92" s="515"/>
      <c r="F92" s="515"/>
      <c r="G92" s="515"/>
      <c r="H92" s="515"/>
      <c r="I92" s="515"/>
      <c r="J92" s="515"/>
      <c r="K92" s="353"/>
      <c r="L92" s="353"/>
      <c r="M92" s="353"/>
      <c r="N92" s="515"/>
      <c r="O92" s="515"/>
      <c r="P92" s="525"/>
      <c r="Q92" s="525"/>
    </row>
    <row r="93" spans="2:17">
      <c r="B93" s="515"/>
      <c r="C93" s="515"/>
      <c r="D93" s="515"/>
      <c r="E93" s="515"/>
      <c r="F93" s="515"/>
      <c r="G93" s="515"/>
      <c r="H93" s="515"/>
      <c r="I93" s="515"/>
      <c r="J93" s="515"/>
      <c r="K93" s="353"/>
      <c r="L93" s="353"/>
      <c r="M93" s="353"/>
      <c r="N93" s="515"/>
      <c r="O93" s="515"/>
      <c r="P93" s="525"/>
      <c r="Q93" s="525"/>
    </row>
    <row r="94" spans="2:17">
      <c r="B94" s="515"/>
      <c r="C94" s="515"/>
      <c r="D94" s="515"/>
      <c r="E94" s="515"/>
      <c r="F94" s="515"/>
      <c r="G94" s="515"/>
      <c r="H94" s="515"/>
      <c r="I94" s="515"/>
      <c r="J94" s="515"/>
      <c r="K94" s="353"/>
      <c r="L94" s="353"/>
      <c r="M94" s="353"/>
      <c r="N94" s="515"/>
      <c r="O94" s="515"/>
      <c r="P94" s="525"/>
      <c r="Q94" s="525"/>
    </row>
    <row r="95" spans="2:17">
      <c r="B95" s="515"/>
      <c r="C95" s="515"/>
      <c r="D95" s="515"/>
      <c r="E95" s="515"/>
      <c r="F95" s="515"/>
      <c r="G95" s="515"/>
      <c r="H95" s="515"/>
      <c r="I95" s="515"/>
      <c r="J95" s="515"/>
      <c r="K95" s="353"/>
      <c r="L95" s="353"/>
      <c r="M95" s="353"/>
      <c r="N95" s="515"/>
      <c r="O95" s="515"/>
      <c r="P95" s="525"/>
      <c r="Q95" s="525"/>
    </row>
    <row r="96" spans="2:17">
      <c r="B96" s="515"/>
      <c r="C96" s="515"/>
      <c r="D96" s="515"/>
      <c r="E96" s="515"/>
      <c r="F96" s="515"/>
      <c r="G96" s="515"/>
      <c r="H96" s="515"/>
      <c r="I96" s="515"/>
      <c r="J96" s="515"/>
      <c r="K96" s="353"/>
      <c r="L96" s="353"/>
      <c r="M96" s="353"/>
      <c r="N96" s="515"/>
      <c r="O96" s="515"/>
      <c r="P96" s="525"/>
      <c r="Q96" s="525"/>
    </row>
    <row r="97" spans="2:17">
      <c r="B97" s="515"/>
      <c r="C97" s="515"/>
      <c r="D97" s="515"/>
      <c r="E97" s="515"/>
      <c r="F97" s="515"/>
      <c r="G97" s="515"/>
      <c r="H97" s="515"/>
      <c r="I97" s="515"/>
      <c r="J97" s="515"/>
      <c r="K97" s="353"/>
      <c r="L97" s="353"/>
      <c r="M97" s="353"/>
      <c r="N97" s="515"/>
      <c r="O97" s="515"/>
      <c r="P97" s="525"/>
      <c r="Q97" s="525"/>
    </row>
    <row r="98" spans="2:17">
      <c r="B98" s="515"/>
      <c r="C98" s="515"/>
      <c r="D98" s="515"/>
      <c r="E98" s="515"/>
      <c r="F98" s="515"/>
      <c r="G98" s="515"/>
      <c r="H98" s="515"/>
      <c r="I98" s="515"/>
      <c r="J98" s="515"/>
      <c r="K98" s="353"/>
      <c r="L98" s="353"/>
      <c r="M98" s="353"/>
      <c r="N98" s="515"/>
      <c r="O98" s="515"/>
      <c r="P98" s="525"/>
      <c r="Q98" s="525"/>
    </row>
    <row r="99" spans="2:17">
      <c r="B99" s="515"/>
      <c r="C99" s="515"/>
      <c r="D99" s="515"/>
      <c r="E99" s="515"/>
      <c r="F99" s="515"/>
      <c r="G99" s="515"/>
      <c r="H99" s="515"/>
      <c r="I99" s="515"/>
      <c r="J99" s="515"/>
      <c r="K99" s="353"/>
      <c r="L99" s="353"/>
      <c r="M99" s="353"/>
      <c r="N99" s="515"/>
      <c r="O99" s="515"/>
      <c r="P99" s="525"/>
      <c r="Q99" s="525"/>
    </row>
  </sheetData>
  <mergeCells count="574">
    <mergeCell ref="B20:H20"/>
    <mergeCell ref="AD24:AO42"/>
    <mergeCell ref="AB60:AC60"/>
    <mergeCell ref="AB61:AC61"/>
    <mergeCell ref="AB62:AC62"/>
    <mergeCell ref="AB63:AC63"/>
    <mergeCell ref="S60:W60"/>
    <mergeCell ref="S61:W61"/>
    <mergeCell ref="S62:W62"/>
    <mergeCell ref="S63:W63"/>
    <mergeCell ref="X57:AA57"/>
    <mergeCell ref="X58:AA58"/>
    <mergeCell ref="X59:AA59"/>
    <mergeCell ref="X60:AA60"/>
    <mergeCell ref="X61:AA61"/>
    <mergeCell ref="X62:AA62"/>
    <mergeCell ref="X63:AA63"/>
    <mergeCell ref="AC45:AE45"/>
    <mergeCell ref="AA45:AB45"/>
    <mergeCell ref="Y45:Z45"/>
    <mergeCell ref="S45:X45"/>
    <mergeCell ref="AF48:AI48"/>
    <mergeCell ref="Y48:Z48"/>
    <mergeCell ref="S57:W57"/>
    <mergeCell ref="S59:W59"/>
    <mergeCell ref="AB57:AC57"/>
    <mergeCell ref="AB58:AC58"/>
    <mergeCell ref="AB59:AC59"/>
    <mergeCell ref="S47:X47"/>
    <mergeCell ref="S48:X48"/>
    <mergeCell ref="S49:X49"/>
    <mergeCell ref="AA48:AB48"/>
    <mergeCell ref="AC48:AE48"/>
    <mergeCell ref="S51:X51"/>
    <mergeCell ref="Y51:Z51"/>
    <mergeCell ref="AA51:AB51"/>
    <mergeCell ref="AC51:AE51"/>
    <mergeCell ref="S50:X50"/>
    <mergeCell ref="S52:X52"/>
    <mergeCell ref="Y52:Z52"/>
    <mergeCell ref="AA52:AB52"/>
    <mergeCell ref="AC52:AE52"/>
    <mergeCell ref="AJ48:AO48"/>
    <mergeCell ref="Y49:Z49"/>
    <mergeCell ref="AA49:AB49"/>
    <mergeCell ref="AC49:AE49"/>
    <mergeCell ref="AF49:AI49"/>
    <mergeCell ref="AJ49:AO49"/>
    <mergeCell ref="AA50:AB50"/>
    <mergeCell ref="AC50:AE50"/>
    <mergeCell ref="AF50:AI50"/>
    <mergeCell ref="AJ50:AO50"/>
    <mergeCell ref="Y50:Z50"/>
    <mergeCell ref="AF51:AI51"/>
    <mergeCell ref="AJ51:AO51"/>
    <mergeCell ref="AJ45:AO45"/>
    <mergeCell ref="AF45:AI45"/>
    <mergeCell ref="S58:W58"/>
    <mergeCell ref="S44:X44"/>
    <mergeCell ref="AJ44:AO44"/>
    <mergeCell ref="AF44:AI44"/>
    <mergeCell ref="AC44:AE44"/>
    <mergeCell ref="AA44:AB44"/>
    <mergeCell ref="Y44:Z44"/>
    <mergeCell ref="Y47:Z47"/>
    <mergeCell ref="AA47:AB47"/>
    <mergeCell ref="AC47:AE47"/>
    <mergeCell ref="AF47:AI47"/>
    <mergeCell ref="AJ47:AO47"/>
    <mergeCell ref="Y46:Z46"/>
    <mergeCell ref="AA46:AB46"/>
    <mergeCell ref="AC46:AE46"/>
    <mergeCell ref="AF46:AI46"/>
    <mergeCell ref="AJ46:AO46"/>
    <mergeCell ref="S46:X46"/>
    <mergeCell ref="AE57:AI57"/>
    <mergeCell ref="AE58:AI58"/>
    <mergeCell ref="Z8:AG8"/>
    <mergeCell ref="AH8:AJ8"/>
    <mergeCell ref="AD23:AO23"/>
    <mergeCell ref="AA13:AB13"/>
    <mergeCell ref="AC13:AD13"/>
    <mergeCell ref="AE13:AF13"/>
    <mergeCell ref="AJ15:AO15"/>
    <mergeCell ref="AJ16:AO16"/>
    <mergeCell ref="AJ18:AO18"/>
    <mergeCell ref="AJ19:AO19"/>
    <mergeCell ref="AG12:AH12"/>
    <mergeCell ref="AG13:AH13"/>
    <mergeCell ref="AG14:AH14"/>
    <mergeCell ref="Z9:AG9"/>
    <mergeCell ref="AG15:AH15"/>
    <mergeCell ref="AG16:AH16"/>
    <mergeCell ref="AG17:AH17"/>
    <mergeCell ref="AG18:AH18"/>
    <mergeCell ref="AG19:AH19"/>
    <mergeCell ref="AE11:AF11"/>
    <mergeCell ref="AG11:AH11"/>
    <mergeCell ref="AE12:AF12"/>
    <mergeCell ref="Y17:Z17"/>
    <mergeCell ref="S23:AB23"/>
    <mergeCell ref="U17:V17"/>
    <mergeCell ref="W17:X17"/>
    <mergeCell ref="AA14:AB14"/>
    <mergeCell ref="U16:V16"/>
    <mergeCell ref="W16:X16"/>
    <mergeCell ref="Y16:Z16"/>
    <mergeCell ref="AA16:AB16"/>
    <mergeCell ref="AC16:AD16"/>
    <mergeCell ref="AA15:AB15"/>
    <mergeCell ref="AC15:AD15"/>
    <mergeCell ref="AC17:AD17"/>
    <mergeCell ref="AA19:AB19"/>
    <mergeCell ref="AC19:AD19"/>
    <mergeCell ref="AE19:AF19"/>
    <mergeCell ref="U18:V18"/>
    <mergeCell ref="W18:X18"/>
    <mergeCell ref="Y18:Z18"/>
    <mergeCell ref="AA18:AB18"/>
    <mergeCell ref="AC18:AD18"/>
    <mergeCell ref="AE18:AF18"/>
    <mergeCell ref="AE20:AF20"/>
    <mergeCell ref="U12:V12"/>
    <mergeCell ref="W12:X12"/>
    <mergeCell ref="Y12:Z12"/>
    <mergeCell ref="AA12:AB12"/>
    <mergeCell ref="AC12:AD12"/>
    <mergeCell ref="Z5:AG5"/>
    <mergeCell ref="AH2:AN2"/>
    <mergeCell ref="AH3:AN3"/>
    <mergeCell ref="AH4:AN4"/>
    <mergeCell ref="AH5:AN5"/>
    <mergeCell ref="S2:U2"/>
    <mergeCell ref="S3:U3"/>
    <mergeCell ref="S4:U4"/>
    <mergeCell ref="Z2:AG2"/>
    <mergeCell ref="Z3:AG3"/>
    <mergeCell ref="Z4:AG4"/>
    <mergeCell ref="AE14:AF14"/>
    <mergeCell ref="AG20:AH20"/>
    <mergeCell ref="AA20:AB20"/>
    <mergeCell ref="AC20:AD20"/>
    <mergeCell ref="AC14:AD14"/>
    <mergeCell ref="AH9:AJ9"/>
    <mergeCell ref="AA17:AB17"/>
    <mergeCell ref="AA11:AB11"/>
    <mergeCell ref="AC11:AD11"/>
    <mergeCell ref="AE17:AF17"/>
    <mergeCell ref="AE16:AF16"/>
    <mergeCell ref="AE15:AF15"/>
    <mergeCell ref="I99:J99"/>
    <mergeCell ref="N99:O99"/>
    <mergeCell ref="P99:Q99"/>
    <mergeCell ref="O2:R2"/>
    <mergeCell ref="O3:R3"/>
    <mergeCell ref="O4:R4"/>
    <mergeCell ref="I97:J97"/>
    <mergeCell ref="N97:O97"/>
    <mergeCell ref="P97:Q97"/>
    <mergeCell ref="I98:J98"/>
    <mergeCell ref="N98:O98"/>
    <mergeCell ref="P98:Q98"/>
    <mergeCell ref="I95:J95"/>
    <mergeCell ref="N95:O95"/>
    <mergeCell ref="P95:Q95"/>
    <mergeCell ref="I96:J96"/>
    <mergeCell ref="N96:O96"/>
    <mergeCell ref="P96:Q96"/>
    <mergeCell ref="I93:J93"/>
    <mergeCell ref="N93:O93"/>
    <mergeCell ref="P93:Q93"/>
    <mergeCell ref="I94:J94"/>
    <mergeCell ref="N94:O94"/>
    <mergeCell ref="P94:Q94"/>
    <mergeCell ref="I91:J91"/>
    <mergeCell ref="N91:O91"/>
    <mergeCell ref="P91:Q91"/>
    <mergeCell ref="I92:J92"/>
    <mergeCell ref="N92:O92"/>
    <mergeCell ref="P92:Q92"/>
    <mergeCell ref="I89:J89"/>
    <mergeCell ref="N89:O89"/>
    <mergeCell ref="P89:Q89"/>
    <mergeCell ref="I90:J90"/>
    <mergeCell ref="N90:O90"/>
    <mergeCell ref="P90:Q90"/>
    <mergeCell ref="I87:J87"/>
    <mergeCell ref="N87:O87"/>
    <mergeCell ref="P87:Q87"/>
    <mergeCell ref="I88:J88"/>
    <mergeCell ref="N88:O88"/>
    <mergeCell ref="P88:Q88"/>
    <mergeCell ref="I85:J85"/>
    <mergeCell ref="N85:O85"/>
    <mergeCell ref="P85:Q85"/>
    <mergeCell ref="I86:J86"/>
    <mergeCell ref="N86:O86"/>
    <mergeCell ref="P86:Q86"/>
    <mergeCell ref="I83:J83"/>
    <mergeCell ref="N83:O83"/>
    <mergeCell ref="P83:Q83"/>
    <mergeCell ref="I84:J84"/>
    <mergeCell ref="N84:O84"/>
    <mergeCell ref="P84:Q84"/>
    <mergeCell ref="I81:J81"/>
    <mergeCell ref="N81:O81"/>
    <mergeCell ref="P81:Q81"/>
    <mergeCell ref="I82:J82"/>
    <mergeCell ref="N82:O82"/>
    <mergeCell ref="P82:Q82"/>
    <mergeCell ref="I79:J79"/>
    <mergeCell ref="N79:O79"/>
    <mergeCell ref="P79:Q79"/>
    <mergeCell ref="I80:J80"/>
    <mergeCell ref="N80:O80"/>
    <mergeCell ref="P80:Q80"/>
    <mergeCell ref="I77:J77"/>
    <mergeCell ref="N77:O77"/>
    <mergeCell ref="P77:Q77"/>
    <mergeCell ref="I78:J78"/>
    <mergeCell ref="N78:O78"/>
    <mergeCell ref="P78:Q78"/>
    <mergeCell ref="I75:J75"/>
    <mergeCell ref="N75:O75"/>
    <mergeCell ref="P75:Q75"/>
    <mergeCell ref="I76:J76"/>
    <mergeCell ref="N76:O76"/>
    <mergeCell ref="P76:Q76"/>
    <mergeCell ref="I73:J73"/>
    <mergeCell ref="N73:O73"/>
    <mergeCell ref="P73:Q73"/>
    <mergeCell ref="I74:J74"/>
    <mergeCell ref="N74:O74"/>
    <mergeCell ref="P74:Q74"/>
    <mergeCell ref="I71:J71"/>
    <mergeCell ref="N71:O71"/>
    <mergeCell ref="P71:Q71"/>
    <mergeCell ref="I72:J72"/>
    <mergeCell ref="N72:O72"/>
    <mergeCell ref="P72:Q72"/>
    <mergeCell ref="I69:J69"/>
    <mergeCell ref="N69:O69"/>
    <mergeCell ref="P69:Q69"/>
    <mergeCell ref="I70:J70"/>
    <mergeCell ref="N70:O70"/>
    <mergeCell ref="P70:Q70"/>
    <mergeCell ref="I67:J67"/>
    <mergeCell ref="N67:O67"/>
    <mergeCell ref="P67:Q67"/>
    <mergeCell ref="I68:J68"/>
    <mergeCell ref="N68:O68"/>
    <mergeCell ref="P68:Q68"/>
    <mergeCell ref="I65:J65"/>
    <mergeCell ref="N65:O65"/>
    <mergeCell ref="P65:Q65"/>
    <mergeCell ref="I66:J66"/>
    <mergeCell ref="N66:O66"/>
    <mergeCell ref="P66:Q66"/>
    <mergeCell ref="I63:J63"/>
    <mergeCell ref="N63:O63"/>
    <mergeCell ref="P63:Q63"/>
    <mergeCell ref="I64:J64"/>
    <mergeCell ref="N64:O64"/>
    <mergeCell ref="P64:Q64"/>
    <mergeCell ref="I61:J61"/>
    <mergeCell ref="N61:O61"/>
    <mergeCell ref="P61:Q61"/>
    <mergeCell ref="I62:J62"/>
    <mergeCell ref="N62:O62"/>
    <mergeCell ref="P62:Q62"/>
    <mergeCell ref="I59:J59"/>
    <mergeCell ref="N59:O59"/>
    <mergeCell ref="P59:Q59"/>
    <mergeCell ref="I60:J60"/>
    <mergeCell ref="N60:O60"/>
    <mergeCell ref="P60:Q60"/>
    <mergeCell ref="I57:J57"/>
    <mergeCell ref="N57:O57"/>
    <mergeCell ref="P57:Q57"/>
    <mergeCell ref="I58:J58"/>
    <mergeCell ref="N58:O58"/>
    <mergeCell ref="P58:Q58"/>
    <mergeCell ref="I55:J55"/>
    <mergeCell ref="N55:O55"/>
    <mergeCell ref="P55:Q55"/>
    <mergeCell ref="I56:J56"/>
    <mergeCell ref="N56:O56"/>
    <mergeCell ref="P56:Q56"/>
    <mergeCell ref="I53:J53"/>
    <mergeCell ref="N53:O53"/>
    <mergeCell ref="P53:Q53"/>
    <mergeCell ref="I54:J54"/>
    <mergeCell ref="N54:O54"/>
    <mergeCell ref="P54:Q54"/>
    <mergeCell ref="I51:J51"/>
    <mergeCell ref="N51:O51"/>
    <mergeCell ref="P51:Q51"/>
    <mergeCell ref="I52:J52"/>
    <mergeCell ref="N52:O52"/>
    <mergeCell ref="P52:Q52"/>
    <mergeCell ref="I50:J50"/>
    <mergeCell ref="N50:O50"/>
    <mergeCell ref="P50:Q50"/>
    <mergeCell ref="I47:J47"/>
    <mergeCell ref="N47:O47"/>
    <mergeCell ref="P47:Q47"/>
    <mergeCell ref="I48:J48"/>
    <mergeCell ref="N48:O48"/>
    <mergeCell ref="P48:Q48"/>
    <mergeCell ref="I46:J46"/>
    <mergeCell ref="N46:O46"/>
    <mergeCell ref="P46:Q46"/>
    <mergeCell ref="I44:J44"/>
    <mergeCell ref="N44:O44"/>
    <mergeCell ref="P44:Q44"/>
    <mergeCell ref="I49:J49"/>
    <mergeCell ref="N49:O49"/>
    <mergeCell ref="P49:Q49"/>
    <mergeCell ref="I45:J45"/>
    <mergeCell ref="N45:O45"/>
    <mergeCell ref="P45:Q45"/>
    <mergeCell ref="I43:J43"/>
    <mergeCell ref="N43:O43"/>
    <mergeCell ref="P43:Q43"/>
    <mergeCell ref="I41:J41"/>
    <mergeCell ref="N41:O41"/>
    <mergeCell ref="P41:Q41"/>
    <mergeCell ref="I42:J42"/>
    <mergeCell ref="N42:O42"/>
    <mergeCell ref="I32:J32"/>
    <mergeCell ref="N32:O32"/>
    <mergeCell ref="P32:Q32"/>
    <mergeCell ref="P42:Q42"/>
    <mergeCell ref="P36:Q36"/>
    <mergeCell ref="I37:J37"/>
    <mergeCell ref="N37:O37"/>
    <mergeCell ref="P37:Q37"/>
    <mergeCell ref="I38:J38"/>
    <mergeCell ref="N38:O38"/>
    <mergeCell ref="P38:Q38"/>
    <mergeCell ref="B65:H65"/>
    <mergeCell ref="B66:H66"/>
    <mergeCell ref="B67:H67"/>
    <mergeCell ref="B68:H68"/>
    <mergeCell ref="B69:H69"/>
    <mergeCell ref="B70:H70"/>
    <mergeCell ref="N27:O27"/>
    <mergeCell ref="P27:Q27"/>
    <mergeCell ref="I28:J28"/>
    <mergeCell ref="N28:O28"/>
    <mergeCell ref="P28:Q28"/>
    <mergeCell ref="I29:J29"/>
    <mergeCell ref="N29:O29"/>
    <mergeCell ref="P29:Q29"/>
    <mergeCell ref="I35:J35"/>
    <mergeCell ref="N35:O35"/>
    <mergeCell ref="P35:Q35"/>
    <mergeCell ref="I39:J39"/>
    <mergeCell ref="N39:O39"/>
    <mergeCell ref="P39:Q39"/>
    <mergeCell ref="I40:J40"/>
    <mergeCell ref="N40:O40"/>
    <mergeCell ref="P40:Q40"/>
    <mergeCell ref="N36:O36"/>
    <mergeCell ref="B95:H95"/>
    <mergeCell ref="B80:H80"/>
    <mergeCell ref="B81:H81"/>
    <mergeCell ref="B82:H82"/>
    <mergeCell ref="B71:H71"/>
    <mergeCell ref="B72:H72"/>
    <mergeCell ref="B73:H73"/>
    <mergeCell ref="B74:H74"/>
    <mergeCell ref="B75:H75"/>
    <mergeCell ref="B76:H76"/>
    <mergeCell ref="B96:H96"/>
    <mergeCell ref="B97:H97"/>
    <mergeCell ref="B98:H98"/>
    <mergeCell ref="B99:H99"/>
    <mergeCell ref="I22:J23"/>
    <mergeCell ref="I27:J27"/>
    <mergeCell ref="I30:J30"/>
    <mergeCell ref="I33:J33"/>
    <mergeCell ref="I36:J36"/>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59:H59"/>
    <mergeCell ref="B60:H60"/>
    <mergeCell ref="B61:H61"/>
    <mergeCell ref="B62:H62"/>
    <mergeCell ref="B63:H63"/>
    <mergeCell ref="B64:H64"/>
    <mergeCell ref="B53:H53"/>
    <mergeCell ref="B54:H54"/>
    <mergeCell ref="B55:H55"/>
    <mergeCell ref="B56:H56"/>
    <mergeCell ref="B57:H57"/>
    <mergeCell ref="B58:H58"/>
    <mergeCell ref="B47:H47"/>
    <mergeCell ref="B48:H48"/>
    <mergeCell ref="B49:H49"/>
    <mergeCell ref="B50:H50"/>
    <mergeCell ref="B51:H51"/>
    <mergeCell ref="B52:H52"/>
    <mergeCell ref="B41:H41"/>
    <mergeCell ref="B42:H42"/>
    <mergeCell ref="B43:H43"/>
    <mergeCell ref="B44:H44"/>
    <mergeCell ref="B45:H45"/>
    <mergeCell ref="B46:H46"/>
    <mergeCell ref="B35:H35"/>
    <mergeCell ref="B36:H36"/>
    <mergeCell ref="B37:H37"/>
    <mergeCell ref="B38:H38"/>
    <mergeCell ref="B39:H39"/>
    <mergeCell ref="B40:H40"/>
    <mergeCell ref="B29:H29"/>
    <mergeCell ref="B30:H30"/>
    <mergeCell ref="B31:H31"/>
    <mergeCell ref="B32:H32"/>
    <mergeCell ref="B33:H33"/>
    <mergeCell ref="B34:H34"/>
    <mergeCell ref="S24:AB42"/>
    <mergeCell ref="I18:J18"/>
    <mergeCell ref="K18:L18"/>
    <mergeCell ref="M18:N18"/>
    <mergeCell ref="O18:P18"/>
    <mergeCell ref="Q18:R18"/>
    <mergeCell ref="S18:T18"/>
    <mergeCell ref="L22:L23"/>
    <mergeCell ref="M22:M23"/>
    <mergeCell ref="N22:O23"/>
    <mergeCell ref="P22:Q23"/>
    <mergeCell ref="I26:J26"/>
    <mergeCell ref="N26:O26"/>
    <mergeCell ref="P26:Q26"/>
    <mergeCell ref="N33:O33"/>
    <mergeCell ref="P33:Q33"/>
    <mergeCell ref="I34:J34"/>
    <mergeCell ref="N34:O34"/>
    <mergeCell ref="P34:Q34"/>
    <mergeCell ref="N30:O30"/>
    <mergeCell ref="P30:Q30"/>
    <mergeCell ref="I31:J31"/>
    <mergeCell ref="N31:O31"/>
    <mergeCell ref="P31:Q31"/>
    <mergeCell ref="S15:T15"/>
    <mergeCell ref="B25:H25"/>
    <mergeCell ref="B26:H26"/>
    <mergeCell ref="B27:H27"/>
    <mergeCell ref="B28:H28"/>
    <mergeCell ref="U19:V19"/>
    <mergeCell ref="W19:X19"/>
    <mergeCell ref="Y19:Z19"/>
    <mergeCell ref="I19:J19"/>
    <mergeCell ref="K19:L19"/>
    <mergeCell ref="M19:N19"/>
    <mergeCell ref="O19:P19"/>
    <mergeCell ref="Q19:R19"/>
    <mergeCell ref="S19:T19"/>
    <mergeCell ref="K22:K23"/>
    <mergeCell ref="B23:H23"/>
    <mergeCell ref="B24:H24"/>
    <mergeCell ref="B19:H19"/>
    <mergeCell ref="I24:J24"/>
    <mergeCell ref="N24:O24"/>
    <mergeCell ref="P24:Q24"/>
    <mergeCell ref="P25:Q25"/>
    <mergeCell ref="N25:O25"/>
    <mergeCell ref="I25:J25"/>
    <mergeCell ref="M15:N15"/>
    <mergeCell ref="I13:J13"/>
    <mergeCell ref="K13:L13"/>
    <mergeCell ref="M13:N13"/>
    <mergeCell ref="I17:J17"/>
    <mergeCell ref="K17:L17"/>
    <mergeCell ref="M17:N17"/>
    <mergeCell ref="O17:P17"/>
    <mergeCell ref="Q17:R17"/>
    <mergeCell ref="O14:P14"/>
    <mergeCell ref="Q14:R14"/>
    <mergeCell ref="B16:H16"/>
    <mergeCell ref="B17:H17"/>
    <mergeCell ref="B18:H18"/>
    <mergeCell ref="I11:J11"/>
    <mergeCell ref="K11:L11"/>
    <mergeCell ref="M11:N11"/>
    <mergeCell ref="O11:P11"/>
    <mergeCell ref="B7:H7"/>
    <mergeCell ref="I7:O7"/>
    <mergeCell ref="P7:V7"/>
    <mergeCell ref="U11:V11"/>
    <mergeCell ref="Q11:R11"/>
    <mergeCell ref="S11:T11"/>
    <mergeCell ref="B8:H9"/>
    <mergeCell ref="I8:O9"/>
    <mergeCell ref="P8:V9"/>
    <mergeCell ref="O16:P16"/>
    <mergeCell ref="Q16:R16"/>
    <mergeCell ref="S16:T16"/>
    <mergeCell ref="U15:V15"/>
    <mergeCell ref="I15:J15"/>
    <mergeCell ref="K15:L15"/>
    <mergeCell ref="Q12:R12"/>
    <mergeCell ref="S12:T12"/>
    <mergeCell ref="I20:J20"/>
    <mergeCell ref="K20:L20"/>
    <mergeCell ref="M20:N20"/>
    <mergeCell ref="O20:P20"/>
    <mergeCell ref="Q20:R20"/>
    <mergeCell ref="S20:T20"/>
    <mergeCell ref="I16:J16"/>
    <mergeCell ref="K16:L16"/>
    <mergeCell ref="M16:N16"/>
    <mergeCell ref="S17:T17"/>
    <mergeCell ref="B11:H11"/>
    <mergeCell ref="B12:H12"/>
    <mergeCell ref="B13:H13"/>
    <mergeCell ref="U13:V13"/>
    <mergeCell ref="W13:X13"/>
    <mergeCell ref="I14:J14"/>
    <mergeCell ref="K14:L14"/>
    <mergeCell ref="M14:N14"/>
    <mergeCell ref="F2:L2"/>
    <mergeCell ref="F3:L3"/>
    <mergeCell ref="F4:L4"/>
    <mergeCell ref="B14:H14"/>
    <mergeCell ref="B2:E2"/>
    <mergeCell ref="B4:E4"/>
    <mergeCell ref="B3:E3"/>
    <mergeCell ref="O13:P13"/>
    <mergeCell ref="Q13:R13"/>
    <mergeCell ref="S13:T13"/>
    <mergeCell ref="I12:J12"/>
    <mergeCell ref="K12:L12"/>
    <mergeCell ref="M12:N12"/>
    <mergeCell ref="O12:P12"/>
    <mergeCell ref="S14:T14"/>
    <mergeCell ref="AF52:AI52"/>
    <mergeCell ref="AJ52:AO52"/>
    <mergeCell ref="S53:X53"/>
    <mergeCell ref="Y53:Z53"/>
    <mergeCell ref="AA53:AB53"/>
    <mergeCell ref="AC53:AE53"/>
    <mergeCell ref="AF53:AI53"/>
    <mergeCell ref="AJ53:AO53"/>
    <mergeCell ref="B5:E5"/>
    <mergeCell ref="F5:L5"/>
    <mergeCell ref="U20:V20"/>
    <mergeCell ref="W20:X20"/>
    <mergeCell ref="Y20:Z20"/>
    <mergeCell ref="U14:V14"/>
    <mergeCell ref="W14:X14"/>
    <mergeCell ref="Y14:Z14"/>
    <mergeCell ref="Y13:Z13"/>
    <mergeCell ref="W11:X11"/>
    <mergeCell ref="Y11:Z11"/>
    <mergeCell ref="W15:X15"/>
    <mergeCell ref="Y15:Z15"/>
    <mergeCell ref="O15:P15"/>
    <mergeCell ref="Q15:R15"/>
    <mergeCell ref="B15:H15"/>
  </mergeCells>
  <conditionalFormatting sqref="I13:X13">
    <cfRule type="cellIs" dxfId="30" priority="33" operator="lessThan">
      <formula>11</formula>
    </cfRule>
  </conditionalFormatting>
  <conditionalFormatting sqref="I15:J15">
    <cfRule type="expression" dxfId="29" priority="32">
      <formula>$I$13&lt;11</formula>
    </cfRule>
  </conditionalFormatting>
  <conditionalFormatting sqref="K15:L15">
    <cfRule type="expression" dxfId="28" priority="31">
      <formula>$K$13&lt;11</formula>
    </cfRule>
  </conditionalFormatting>
  <conditionalFormatting sqref="M15:N15">
    <cfRule type="expression" dxfId="27" priority="30">
      <formula>$M$13&lt;11</formula>
    </cfRule>
  </conditionalFormatting>
  <conditionalFormatting sqref="O15:P15">
    <cfRule type="expression" dxfId="26" priority="29">
      <formula>$O$13&lt;11</formula>
    </cfRule>
  </conditionalFormatting>
  <conditionalFormatting sqref="Q15:R15">
    <cfRule type="expression" dxfId="25" priority="28">
      <formula>$Q$13&lt;11</formula>
    </cfRule>
  </conditionalFormatting>
  <conditionalFormatting sqref="S15:T15">
    <cfRule type="expression" dxfId="24" priority="27">
      <formula>$S$13&lt;11</formula>
    </cfRule>
  </conditionalFormatting>
  <conditionalFormatting sqref="U15:V15">
    <cfRule type="expression" dxfId="23" priority="26">
      <formula>$U$13&lt;11</formula>
    </cfRule>
  </conditionalFormatting>
  <conditionalFormatting sqref="W15:X15">
    <cfRule type="expression" dxfId="22" priority="25">
      <formula>$W$13&lt;11</formula>
    </cfRule>
  </conditionalFormatting>
  <conditionalFormatting sqref="I13:AH14 Z17:Z18 V17:V18 R17:R18 N17:N18 J17:J18 W16:Y18 S16:U18 I18:AH18 O16:Q18 I16:I18 K16:M18 AA16:AG18 AH17:AH18 M16:AB16">
    <cfRule type="cellIs" dxfId="21" priority="24" operator="equal">
      <formula>0</formula>
    </cfRule>
  </conditionalFormatting>
  <conditionalFormatting sqref="K24:M63">
    <cfRule type="cellIs" dxfId="20" priority="15" operator="equal">
      <formula>"X"</formula>
    </cfRule>
    <cfRule type="cellIs" dxfId="19" priority="16" operator="equal">
      <formula>0</formula>
    </cfRule>
  </conditionalFormatting>
  <conditionalFormatting sqref="N24:O43">
    <cfRule type="cellIs" dxfId="18" priority="13" operator="greaterThan">
      <formula>0</formula>
    </cfRule>
    <cfRule type="cellIs" dxfId="17" priority="14" operator="equal">
      <formula>0</formula>
    </cfRule>
  </conditionalFormatting>
  <conditionalFormatting sqref="K50:M63">
    <cfRule type="cellIs" dxfId="16" priority="11" operator="equal">
      <formula>"X"</formula>
    </cfRule>
    <cfRule type="cellIs" dxfId="15" priority="12" operator="equal">
      <formula>0</formula>
    </cfRule>
  </conditionalFormatting>
  <conditionalFormatting sqref="AJ45:AO53">
    <cfRule type="cellIs" dxfId="14" priority="10" operator="equal">
      <formula>0</formula>
    </cfRule>
  </conditionalFormatting>
  <conditionalFormatting sqref="Y45:AO53">
    <cfRule type="cellIs" dxfId="13" priority="9" operator="equal">
      <formula>"NA"</formula>
    </cfRule>
  </conditionalFormatting>
  <conditionalFormatting sqref="Y45:Z53">
    <cfRule type="cellIs" dxfId="12" priority="6" operator="equal">
      <formula>"""D10 + """</formula>
    </cfRule>
  </conditionalFormatting>
  <conditionalFormatting sqref="N24:Q63">
    <cfRule type="cellIs" dxfId="11" priority="5" operator="equal">
      <formula>0</formula>
    </cfRule>
  </conditionalFormatting>
  <conditionalFormatting sqref="B20:AH20">
    <cfRule type="expression" dxfId="10" priority="1">
      <formula>$F$5="non"</formula>
    </cfRule>
  </conditionalFormatting>
  <dataValidations count="6">
    <dataValidation type="list" allowBlank="1" showInputMessage="1" showErrorMessage="1" sqref="F3">
      <formula1>ListeSexe</formula1>
    </dataValidation>
    <dataValidation type="list" allowBlank="1" showInputMessage="1" showErrorMessage="1" sqref="AH8:AJ9 F5:L5">
      <formula1>"Oui,Non"</formula1>
    </dataValidation>
    <dataValidation type="list" allowBlank="1" showInputMessage="1" showErrorMessage="1" sqref="I8:O9">
      <formula1>IF($AH$9="Oui",ParcoursC1,ListeCarriere)</formula1>
    </dataValidation>
    <dataValidation type="list" allowBlank="1" showInputMessage="1" showErrorMessage="1" sqref="P8:V9">
      <formula1>IF($AH$9="Oui",ParcoursC2,ListeCarriere)</formula1>
    </dataValidation>
    <dataValidation type="list" allowBlank="1" showInputMessage="1" showErrorMessage="1" sqref="B8:H9">
      <formula1>INDIRECT("CarriereBase"&amp;Race)</formula1>
    </dataValidation>
    <dataValidation type="list" allowBlank="1" showInputMessage="1" showErrorMessage="1" sqref="F2">
      <formula1>ListeRace</formula1>
    </dataValidation>
  </dataValidations>
  <pageMargins left="0.7" right="0.7" top="0.75" bottom="0.75" header="0.3" footer="0.3"/>
  <pageSetup paperSize="9" scale="39" orientation="portrait" r:id="rId1"/>
  <legacyDrawing r:id="rId2"/>
</worksheet>
</file>

<file path=xl/worksheets/sheet3.xml><?xml version="1.0" encoding="utf-8"?>
<worksheet xmlns="http://schemas.openxmlformats.org/spreadsheetml/2006/main" xmlns:r="http://schemas.openxmlformats.org/officeDocument/2006/relationships">
  <dimension ref="A1:W220"/>
  <sheetViews>
    <sheetView topLeftCell="L1" zoomScaleNormal="100" workbookViewId="0">
      <pane ySplit="1" topLeftCell="A2" activePane="bottomLeft" state="frozen"/>
      <selection activeCell="B5" sqref="B5:H26"/>
      <selection pane="bottomLeft" activeCell="U8" sqref="U8"/>
    </sheetView>
  </sheetViews>
  <sheetFormatPr baseColWidth="10" defaultColWidth="9.140625" defaultRowHeight="15"/>
  <cols>
    <col min="1" max="1" width="49.42578125" style="106" bestFit="1" customWidth="1"/>
    <col min="2" max="2" width="20.140625" style="77" bestFit="1" customWidth="1"/>
    <col min="3" max="3" width="24.28515625" style="77" bestFit="1" customWidth="1"/>
    <col min="4" max="4" width="16.5703125" style="77" bestFit="1" customWidth="1"/>
    <col min="5" max="6" width="21.140625" style="77" bestFit="1" customWidth="1"/>
    <col min="7" max="7" width="22.85546875" style="77" bestFit="1" customWidth="1"/>
    <col min="8" max="8" width="41.85546875" style="77" bestFit="1" customWidth="1"/>
    <col min="9" max="9" width="22.140625" style="77" bestFit="1" customWidth="1"/>
    <col min="10" max="10" width="23.85546875" style="77" bestFit="1" customWidth="1"/>
    <col min="11" max="11" width="41.85546875" style="77" bestFit="1" customWidth="1"/>
    <col min="12" max="12" width="46.7109375" style="77" bestFit="1" customWidth="1"/>
    <col min="13" max="14" width="24.7109375" style="77" bestFit="1" customWidth="1"/>
    <col min="15" max="15" width="8.5703125" style="77" bestFit="1" customWidth="1"/>
    <col min="16" max="16" width="9.5703125" style="77" bestFit="1" customWidth="1"/>
    <col min="17" max="17" width="15" style="77" bestFit="1" customWidth="1"/>
    <col min="18" max="18" width="13.7109375" style="77" bestFit="1" customWidth="1"/>
    <col min="19" max="19" width="13.85546875" style="77" bestFit="1" customWidth="1"/>
    <col min="20" max="22" width="9.140625" style="77" customWidth="1"/>
    <col min="23" max="16384" width="9.140625" style="77"/>
  </cols>
  <sheetData>
    <row r="1" spans="1:23" s="171" customFormat="1" ht="15.75" thickBot="1">
      <c r="A1" s="169" t="s">
        <v>745</v>
      </c>
      <c r="B1" s="170" t="s">
        <v>746</v>
      </c>
      <c r="C1" s="169" t="s">
        <v>613</v>
      </c>
      <c r="D1" s="170" t="s">
        <v>742</v>
      </c>
      <c r="E1" s="169" t="s">
        <v>743</v>
      </c>
      <c r="F1" s="170" t="s">
        <v>744</v>
      </c>
      <c r="G1" s="169" t="s">
        <v>747</v>
      </c>
      <c r="H1" s="171" t="s">
        <v>748</v>
      </c>
      <c r="I1" s="169" t="s">
        <v>825</v>
      </c>
      <c r="J1" s="169" t="s">
        <v>614</v>
      </c>
      <c r="K1" s="255" t="s">
        <v>827</v>
      </c>
      <c r="L1" s="169" t="s">
        <v>84</v>
      </c>
      <c r="M1" s="169" t="s">
        <v>626</v>
      </c>
      <c r="N1" s="170" t="s">
        <v>627</v>
      </c>
      <c r="O1" s="169" t="s">
        <v>73</v>
      </c>
      <c r="P1" s="170" t="s">
        <v>235</v>
      </c>
      <c r="Q1" s="169" t="s">
        <v>749</v>
      </c>
      <c r="R1" s="170" t="s">
        <v>750</v>
      </c>
      <c r="S1" s="169" t="s">
        <v>692</v>
      </c>
    </row>
    <row r="2" spans="1:23">
      <c r="A2" s="260" t="s">
        <v>97</v>
      </c>
      <c r="B2" s="261" t="s">
        <v>97</v>
      </c>
      <c r="C2" s="260" t="s">
        <v>97</v>
      </c>
      <c r="D2" s="262" t="str">
        <f ca="1">INDIRECT("Liste!D"&amp;RANDBETWEEN(3,18))</f>
        <v>gardien tribal</v>
      </c>
      <c r="E2" s="263" t="str">
        <f ca="1">INDIRECT("Liste!E"&amp;RANDBETWEEN(3,33))</f>
        <v>vagabond</v>
      </c>
      <c r="F2" s="262" t="str">
        <f ca="1">INDIRECT("Liste!F"&amp;RANDBETWEEN(3,56))</f>
        <v>collecteur de taxes</v>
      </c>
      <c r="G2" s="263" t="str">
        <f ca="1">INDIRECT("Liste!G"&amp;RANDBETWEEN(3,33))</f>
        <v>tueur de trolls</v>
      </c>
      <c r="H2" s="264" t="s">
        <v>97</v>
      </c>
      <c r="I2" s="260" t="s">
        <v>97</v>
      </c>
      <c r="J2" s="260" t="s">
        <v>97</v>
      </c>
      <c r="K2" s="265" t="s">
        <v>97</v>
      </c>
      <c r="L2" s="260" t="s">
        <v>97</v>
      </c>
      <c r="M2" s="263"/>
      <c r="N2" s="262"/>
      <c r="O2" s="260"/>
      <c r="P2" s="261"/>
      <c r="Q2" s="260" t="s">
        <v>97</v>
      </c>
      <c r="R2" s="261" t="s">
        <v>97</v>
      </c>
      <c r="S2" s="260" t="s">
        <v>97</v>
      </c>
      <c r="T2" s="73"/>
      <c r="U2" s="72"/>
      <c r="V2" s="73"/>
    </row>
    <row r="3" spans="1:23">
      <c r="A3" s="275" t="s">
        <v>876</v>
      </c>
      <c r="B3" s="266" t="s">
        <v>17</v>
      </c>
      <c r="C3" s="267" t="s">
        <v>17</v>
      </c>
      <c r="D3" s="105" t="s">
        <v>18</v>
      </c>
      <c r="E3" s="107" t="s">
        <v>17</v>
      </c>
      <c r="F3" s="105" t="s">
        <v>17</v>
      </c>
      <c r="G3" s="107" t="s">
        <v>17</v>
      </c>
      <c r="H3" s="168" t="s">
        <v>586</v>
      </c>
      <c r="I3" s="107" t="s">
        <v>8</v>
      </c>
      <c r="J3" s="107" t="s">
        <v>462</v>
      </c>
      <c r="K3" s="168" t="s">
        <v>586</v>
      </c>
      <c r="L3" s="168" t="s">
        <v>816</v>
      </c>
      <c r="M3" s="107" t="s">
        <v>93</v>
      </c>
      <c r="N3" s="105" t="s">
        <v>93</v>
      </c>
      <c r="O3" s="107" t="s">
        <v>12</v>
      </c>
      <c r="P3" s="105" t="s">
        <v>615</v>
      </c>
      <c r="Q3" s="107" t="s">
        <v>662</v>
      </c>
      <c r="R3" s="105" t="s">
        <v>680</v>
      </c>
      <c r="S3" s="269" t="s">
        <v>693</v>
      </c>
      <c r="T3" s="73"/>
      <c r="U3" s="73"/>
      <c r="V3" s="73"/>
    </row>
    <row r="4" spans="1:23">
      <c r="A4" s="275" t="s">
        <v>864</v>
      </c>
      <c r="B4" s="266" t="s">
        <v>18</v>
      </c>
      <c r="C4" s="267" t="s">
        <v>18</v>
      </c>
      <c r="D4" s="105" t="s">
        <v>19</v>
      </c>
      <c r="E4" s="107" t="s">
        <v>19</v>
      </c>
      <c r="F4" s="105" t="s">
        <v>18</v>
      </c>
      <c r="G4" s="107" t="s">
        <v>19</v>
      </c>
      <c r="H4" s="168" t="s">
        <v>587</v>
      </c>
      <c r="I4" s="107" t="s">
        <v>8</v>
      </c>
      <c r="J4" s="107" t="s">
        <v>463</v>
      </c>
      <c r="K4" s="168" t="s">
        <v>587</v>
      </c>
      <c r="L4" s="268" t="s">
        <v>632</v>
      </c>
      <c r="M4" s="107" t="s">
        <v>628</v>
      </c>
      <c r="N4" s="105" t="s">
        <v>628</v>
      </c>
      <c r="O4" s="107" t="s">
        <v>1</v>
      </c>
      <c r="P4" s="105" t="s">
        <v>608</v>
      </c>
      <c r="Q4" s="107" t="s">
        <v>663</v>
      </c>
      <c r="R4" s="105" t="s">
        <v>681</v>
      </c>
      <c r="S4" s="269" t="s">
        <v>694</v>
      </c>
      <c r="T4" s="73"/>
      <c r="U4" s="73"/>
      <c r="V4" s="73"/>
    </row>
    <row r="5" spans="1:23">
      <c r="A5" s="275" t="s">
        <v>919</v>
      </c>
      <c r="B5" s="266" t="s">
        <v>19</v>
      </c>
      <c r="C5" s="267" t="s">
        <v>399</v>
      </c>
      <c r="D5" s="266" t="s">
        <v>20</v>
      </c>
      <c r="E5" s="267" t="s">
        <v>20</v>
      </c>
      <c r="F5" s="266" t="s">
        <v>19</v>
      </c>
      <c r="G5" s="267" t="s">
        <v>20</v>
      </c>
      <c r="H5" s="168" t="s">
        <v>920</v>
      </c>
      <c r="I5" s="107" t="s">
        <v>8</v>
      </c>
      <c r="J5" s="107" t="s">
        <v>464</v>
      </c>
      <c r="K5" s="168" t="s">
        <v>920</v>
      </c>
      <c r="L5" s="107" t="s">
        <v>93</v>
      </c>
      <c r="M5" s="107" t="s">
        <v>629</v>
      </c>
      <c r="N5" s="105" t="s">
        <v>629</v>
      </c>
      <c r="O5" s="107" t="s">
        <v>0</v>
      </c>
      <c r="P5" s="105"/>
      <c r="Q5" s="107" t="s">
        <v>664</v>
      </c>
      <c r="R5" s="105" t="s">
        <v>677</v>
      </c>
      <c r="S5" s="269" t="s">
        <v>695</v>
      </c>
      <c r="T5" s="73"/>
      <c r="U5" s="73"/>
      <c r="V5" s="73"/>
      <c r="W5" s="81"/>
    </row>
    <row r="6" spans="1:23">
      <c r="A6" s="275" t="s">
        <v>859</v>
      </c>
      <c r="B6" s="266" t="s">
        <v>20</v>
      </c>
      <c r="C6" s="267" t="s">
        <v>19</v>
      </c>
      <c r="D6" s="105" t="s">
        <v>27</v>
      </c>
      <c r="E6" s="107" t="s">
        <v>23</v>
      </c>
      <c r="F6" s="105" t="s">
        <v>20</v>
      </c>
      <c r="G6" s="107" t="s">
        <v>23</v>
      </c>
      <c r="H6" s="168" t="s">
        <v>588</v>
      </c>
      <c r="I6" s="107" t="s">
        <v>8</v>
      </c>
      <c r="J6" s="107" t="s">
        <v>826</v>
      </c>
      <c r="K6" s="168" t="s">
        <v>588</v>
      </c>
      <c r="L6" s="107" t="s">
        <v>628</v>
      </c>
      <c r="M6" s="107" t="s">
        <v>95</v>
      </c>
      <c r="N6" s="105" t="s">
        <v>95</v>
      </c>
      <c r="O6" s="107" t="s">
        <v>11</v>
      </c>
      <c r="P6" s="105"/>
      <c r="Q6" s="107" t="s">
        <v>736</v>
      </c>
      <c r="R6" s="105" t="s">
        <v>679</v>
      </c>
      <c r="S6" s="269" t="s">
        <v>696</v>
      </c>
      <c r="T6" s="73"/>
      <c r="U6" s="73"/>
      <c r="V6" s="73"/>
      <c r="W6" s="78"/>
    </row>
    <row r="7" spans="1:23">
      <c r="A7" s="275" t="s">
        <v>884</v>
      </c>
      <c r="B7" s="266" t="s">
        <v>21</v>
      </c>
      <c r="C7" s="267" t="s">
        <v>400</v>
      </c>
      <c r="D7" s="105" t="s">
        <v>831</v>
      </c>
      <c r="E7" s="107" t="s">
        <v>25</v>
      </c>
      <c r="F7" s="105" t="s">
        <v>21</v>
      </c>
      <c r="G7" s="107" t="s">
        <v>27</v>
      </c>
      <c r="H7" s="168" t="s">
        <v>532</v>
      </c>
      <c r="I7" s="107" t="s">
        <v>10</v>
      </c>
      <c r="J7" s="107" t="s">
        <v>465</v>
      </c>
      <c r="K7" s="168" t="s">
        <v>532</v>
      </c>
      <c r="L7" s="107" t="s">
        <v>94</v>
      </c>
      <c r="M7" s="107" t="s">
        <v>89</v>
      </c>
      <c r="N7" s="105" t="s">
        <v>89</v>
      </c>
      <c r="O7" s="107"/>
      <c r="P7" s="105"/>
      <c r="Q7" s="107" t="s">
        <v>665</v>
      </c>
      <c r="R7" s="105" t="s">
        <v>678</v>
      </c>
      <c r="S7" s="269" t="s">
        <v>697</v>
      </c>
      <c r="T7" s="73"/>
      <c r="U7" s="73"/>
      <c r="V7" s="73"/>
      <c r="W7" s="78"/>
    </row>
    <row r="8" spans="1:23">
      <c r="A8" s="107" t="s">
        <v>127</v>
      </c>
      <c r="B8" s="266" t="s">
        <v>22</v>
      </c>
      <c r="C8" s="267" t="s">
        <v>401</v>
      </c>
      <c r="D8" s="105" t="s">
        <v>36</v>
      </c>
      <c r="E8" s="107" t="s">
        <v>26</v>
      </c>
      <c r="F8" s="105" t="s">
        <v>22</v>
      </c>
      <c r="G8" s="107" t="s">
        <v>29</v>
      </c>
      <c r="H8" s="168" t="s">
        <v>533</v>
      </c>
      <c r="I8" s="107" t="s">
        <v>7</v>
      </c>
      <c r="J8" s="107" t="s">
        <v>466</v>
      </c>
      <c r="K8" s="168" t="s">
        <v>533</v>
      </c>
      <c r="L8" s="107" t="s">
        <v>629</v>
      </c>
      <c r="M8" s="107" t="s">
        <v>87</v>
      </c>
      <c r="N8" s="105" t="s">
        <v>87</v>
      </c>
      <c r="O8" s="107"/>
      <c r="P8" s="105"/>
      <c r="Q8" s="107" t="s">
        <v>666</v>
      </c>
      <c r="R8" s="105" t="s">
        <v>686</v>
      </c>
      <c r="S8" s="269" t="s">
        <v>698</v>
      </c>
      <c r="T8" s="73"/>
      <c r="U8" s="73"/>
      <c r="V8" s="73"/>
      <c r="W8" s="78"/>
    </row>
    <row r="9" spans="1:23">
      <c r="A9" s="107" t="s">
        <v>893</v>
      </c>
      <c r="B9" s="266" t="s">
        <v>23</v>
      </c>
      <c r="C9" s="267" t="s">
        <v>402</v>
      </c>
      <c r="D9" s="105" t="s">
        <v>37</v>
      </c>
      <c r="E9" s="107" t="s">
        <v>27</v>
      </c>
      <c r="F9" s="105" t="s">
        <v>23</v>
      </c>
      <c r="G9" s="107" t="s">
        <v>30</v>
      </c>
      <c r="H9" s="168" t="s">
        <v>462</v>
      </c>
      <c r="I9" s="107" t="s">
        <v>5</v>
      </c>
      <c r="J9" s="107" t="s">
        <v>467</v>
      </c>
      <c r="K9" s="168" t="s">
        <v>604</v>
      </c>
      <c r="L9" s="107" t="s">
        <v>95</v>
      </c>
      <c r="M9" s="107" t="s">
        <v>514</v>
      </c>
      <c r="N9" s="105" t="s">
        <v>514</v>
      </c>
      <c r="O9" s="107"/>
      <c r="P9" s="105"/>
      <c r="Q9" s="107" t="s">
        <v>667</v>
      </c>
      <c r="R9" s="105" t="s">
        <v>685</v>
      </c>
      <c r="S9" s="269" t="s">
        <v>699</v>
      </c>
      <c r="T9" s="73"/>
      <c r="U9" s="73"/>
      <c r="V9" s="73"/>
      <c r="W9" s="78"/>
    </row>
    <row r="10" spans="1:23">
      <c r="A10" s="107" t="s">
        <v>172</v>
      </c>
      <c r="B10" s="266" t="s">
        <v>24</v>
      </c>
      <c r="C10" s="267" t="s">
        <v>451</v>
      </c>
      <c r="D10" s="105" t="s">
        <v>832</v>
      </c>
      <c r="E10" s="107" t="s">
        <v>829</v>
      </c>
      <c r="F10" s="105" t="s">
        <v>24</v>
      </c>
      <c r="G10" s="107" t="s">
        <v>31</v>
      </c>
      <c r="H10" s="168" t="s">
        <v>463</v>
      </c>
      <c r="I10" s="107" t="s">
        <v>10</v>
      </c>
      <c r="J10" s="107" t="s">
        <v>468</v>
      </c>
      <c r="K10" s="168" t="s">
        <v>773</v>
      </c>
      <c r="L10" s="107" t="s">
        <v>96</v>
      </c>
      <c r="M10" s="107" t="s">
        <v>491</v>
      </c>
      <c r="N10" s="105" t="s">
        <v>491</v>
      </c>
      <c r="O10" s="107"/>
      <c r="P10" s="105"/>
      <c r="Q10" s="107" t="s">
        <v>668</v>
      </c>
      <c r="R10" s="105" t="s">
        <v>674</v>
      </c>
      <c r="S10" s="269"/>
      <c r="T10" s="73"/>
      <c r="U10" s="73"/>
      <c r="V10" s="73"/>
      <c r="W10" s="78"/>
    </row>
    <row r="11" spans="1:23">
      <c r="A11" s="107" t="s">
        <v>706</v>
      </c>
      <c r="B11" s="266" t="s">
        <v>25</v>
      </c>
      <c r="C11" s="267" t="s">
        <v>20</v>
      </c>
      <c r="D11" s="105" t="s">
        <v>41</v>
      </c>
      <c r="E11" s="107" t="s">
        <v>28</v>
      </c>
      <c r="F11" s="105" t="s">
        <v>25</v>
      </c>
      <c r="G11" s="107" t="s">
        <v>32</v>
      </c>
      <c r="H11" s="168" t="s">
        <v>464</v>
      </c>
      <c r="I11" s="107" t="s">
        <v>10</v>
      </c>
      <c r="J11" s="107" t="s">
        <v>469</v>
      </c>
      <c r="K11" s="168" t="s">
        <v>774</v>
      </c>
      <c r="L11" s="107" t="s">
        <v>483</v>
      </c>
      <c r="M11" s="107" t="s">
        <v>494</v>
      </c>
      <c r="N11" s="105" t="s">
        <v>494</v>
      </c>
      <c r="O11" s="107"/>
      <c r="P11" s="105"/>
      <c r="Q11" s="107" t="s">
        <v>669</v>
      </c>
      <c r="R11" s="105" t="s">
        <v>682</v>
      </c>
      <c r="S11" s="269"/>
      <c r="T11" s="73"/>
      <c r="U11" s="73"/>
      <c r="V11" s="73"/>
      <c r="W11" s="78"/>
    </row>
    <row r="12" spans="1:23">
      <c r="A12" s="102" t="s">
        <v>704</v>
      </c>
      <c r="B12" s="266" t="s">
        <v>27</v>
      </c>
      <c r="C12" s="267" t="s">
        <v>21</v>
      </c>
      <c r="D12" s="105" t="s">
        <v>44</v>
      </c>
      <c r="E12" s="107" t="s">
        <v>30</v>
      </c>
      <c r="F12" s="105" t="s">
        <v>26</v>
      </c>
      <c r="G12" s="107" t="s">
        <v>832</v>
      </c>
      <c r="H12" s="168" t="s">
        <v>826</v>
      </c>
      <c r="I12" s="107" t="s">
        <v>10</v>
      </c>
      <c r="J12" s="107" t="s">
        <v>470</v>
      </c>
      <c r="K12" s="168" t="s">
        <v>899</v>
      </c>
      <c r="L12" s="107" t="s">
        <v>484</v>
      </c>
      <c r="M12" s="107" t="s">
        <v>80</v>
      </c>
      <c r="N12" s="105" t="s">
        <v>80</v>
      </c>
      <c r="O12" s="107"/>
      <c r="P12" s="105"/>
      <c r="Q12" s="107" t="s">
        <v>670</v>
      </c>
      <c r="R12" s="105" t="s">
        <v>675</v>
      </c>
      <c r="S12" s="269"/>
      <c r="T12" s="73"/>
      <c r="U12" s="73"/>
      <c r="V12" s="73"/>
      <c r="W12" s="78"/>
    </row>
    <row r="13" spans="1:23">
      <c r="A13" s="102" t="s">
        <v>705</v>
      </c>
      <c r="B13" s="266" t="s">
        <v>26</v>
      </c>
      <c r="C13" s="267" t="s">
        <v>22</v>
      </c>
      <c r="D13" s="105" t="s">
        <v>47</v>
      </c>
      <c r="E13" s="107" t="s">
        <v>32</v>
      </c>
      <c r="F13" s="105" t="s">
        <v>27</v>
      </c>
      <c r="G13" s="107" t="s">
        <v>40</v>
      </c>
      <c r="H13" s="168" t="s">
        <v>465</v>
      </c>
      <c r="I13" s="107" t="s">
        <v>7</v>
      </c>
      <c r="J13" s="107" t="s">
        <v>471</v>
      </c>
      <c r="K13" s="168" t="s">
        <v>834</v>
      </c>
      <c r="L13" s="107" t="s">
        <v>89</v>
      </c>
      <c r="M13" s="107" t="s">
        <v>630</v>
      </c>
      <c r="N13" s="105" t="s">
        <v>630</v>
      </c>
      <c r="O13" s="107"/>
      <c r="P13" s="105"/>
      <c r="Q13" s="107" t="s">
        <v>671</v>
      </c>
      <c r="R13" s="105" t="s">
        <v>676</v>
      </c>
      <c r="S13" s="269"/>
      <c r="T13" s="73"/>
      <c r="U13" s="73"/>
      <c r="V13" s="73"/>
      <c r="W13" s="78"/>
    </row>
    <row r="14" spans="1:23">
      <c r="A14" s="102" t="s">
        <v>709</v>
      </c>
      <c r="B14" s="266" t="s">
        <v>829</v>
      </c>
      <c r="C14" s="267" t="s">
        <v>23</v>
      </c>
      <c r="D14" s="105" t="s">
        <v>50</v>
      </c>
      <c r="E14" s="107" t="s">
        <v>37</v>
      </c>
      <c r="F14" s="105" t="s">
        <v>829</v>
      </c>
      <c r="G14" s="107" t="s">
        <v>39</v>
      </c>
      <c r="H14" s="168" t="s">
        <v>604</v>
      </c>
      <c r="I14" s="107" t="s">
        <v>8</v>
      </c>
      <c r="J14" s="107" t="s">
        <v>472</v>
      </c>
      <c r="K14" s="168" t="s">
        <v>578</v>
      </c>
      <c r="L14" s="107" t="s">
        <v>485</v>
      </c>
      <c r="M14" s="107" t="s">
        <v>517</v>
      </c>
      <c r="N14" s="105" t="s">
        <v>517</v>
      </c>
      <c r="O14" s="107"/>
      <c r="P14" s="105"/>
      <c r="Q14" s="107" t="s">
        <v>672</v>
      </c>
      <c r="R14" s="105" t="s">
        <v>684</v>
      </c>
      <c r="S14" s="107"/>
      <c r="W14" s="78"/>
    </row>
    <row r="15" spans="1:23">
      <c r="A15" s="107" t="s">
        <v>146</v>
      </c>
      <c r="B15" s="266" t="s">
        <v>28</v>
      </c>
      <c r="C15" s="267" t="s">
        <v>403</v>
      </c>
      <c r="D15" s="105" t="s">
        <v>51</v>
      </c>
      <c r="E15" s="107" t="s">
        <v>832</v>
      </c>
      <c r="F15" s="105" t="s">
        <v>28</v>
      </c>
      <c r="G15" s="107" t="s">
        <v>810</v>
      </c>
      <c r="H15" s="168" t="s">
        <v>773</v>
      </c>
      <c r="I15" s="107" t="s">
        <v>8</v>
      </c>
      <c r="J15" s="107" t="s">
        <v>473</v>
      </c>
      <c r="K15" s="168" t="s">
        <v>872</v>
      </c>
      <c r="L15" s="107" t="s">
        <v>486</v>
      </c>
      <c r="M15" s="107" t="s">
        <v>509</v>
      </c>
      <c r="N15" s="105" t="s">
        <v>509</v>
      </c>
      <c r="O15" s="107"/>
      <c r="P15" s="105"/>
      <c r="Q15" s="107" t="s">
        <v>673</v>
      </c>
      <c r="R15" s="105" t="s">
        <v>683</v>
      </c>
      <c r="S15" s="107"/>
      <c r="W15" s="78"/>
    </row>
    <row r="16" spans="1:23">
      <c r="A16" s="270" t="s">
        <v>147</v>
      </c>
      <c r="B16" s="266" t="s">
        <v>29</v>
      </c>
      <c r="C16" s="267" t="s">
        <v>24</v>
      </c>
      <c r="D16" s="105" t="s">
        <v>62</v>
      </c>
      <c r="E16" s="107" t="s">
        <v>39</v>
      </c>
      <c r="F16" s="105" t="s">
        <v>29</v>
      </c>
      <c r="G16" s="107" t="s">
        <v>43</v>
      </c>
      <c r="H16" s="168" t="s">
        <v>774</v>
      </c>
      <c r="I16" s="107" t="s">
        <v>8</v>
      </c>
      <c r="J16" s="107" t="s">
        <v>474</v>
      </c>
      <c r="K16" s="168" t="s">
        <v>584</v>
      </c>
      <c r="L16" s="107" t="s">
        <v>487</v>
      </c>
      <c r="M16" s="107" t="s">
        <v>619</v>
      </c>
      <c r="N16" s="105" t="s">
        <v>619</v>
      </c>
      <c r="O16" s="107"/>
      <c r="P16" s="105"/>
      <c r="Q16" s="107" t="s">
        <v>689</v>
      </c>
      <c r="R16" s="105" t="s">
        <v>689</v>
      </c>
      <c r="S16" s="107"/>
      <c r="W16" s="78"/>
    </row>
    <row r="17" spans="1:23">
      <c r="A17" s="107" t="s">
        <v>529</v>
      </c>
      <c r="B17" s="266" t="s">
        <v>30</v>
      </c>
      <c r="C17" s="267" t="s">
        <v>404</v>
      </c>
      <c r="D17" s="105" t="s">
        <v>70</v>
      </c>
      <c r="E17" s="107" t="s">
        <v>44</v>
      </c>
      <c r="F17" s="105" t="s">
        <v>30</v>
      </c>
      <c r="G17" s="107" t="s">
        <v>44</v>
      </c>
      <c r="H17" s="168" t="s">
        <v>899</v>
      </c>
      <c r="I17" s="107" t="s">
        <v>8</v>
      </c>
      <c r="J17" s="107" t="s">
        <v>475</v>
      </c>
      <c r="K17" s="168" t="s">
        <v>866</v>
      </c>
      <c r="L17" s="107" t="s">
        <v>92</v>
      </c>
      <c r="M17" s="107" t="s">
        <v>510</v>
      </c>
      <c r="N17" s="105" t="s">
        <v>510</v>
      </c>
      <c r="O17" s="107"/>
      <c r="P17" s="105"/>
      <c r="Q17" s="107"/>
      <c r="R17" s="105"/>
      <c r="S17" s="107"/>
      <c r="W17" s="78"/>
    </row>
    <row r="18" spans="1:23">
      <c r="A18" s="107" t="s">
        <v>106</v>
      </c>
      <c r="B18" s="266" t="s">
        <v>31</v>
      </c>
      <c r="C18" s="267" t="s">
        <v>405</v>
      </c>
      <c r="D18" s="105" t="s">
        <v>72</v>
      </c>
      <c r="E18" s="107" t="s">
        <v>49</v>
      </c>
      <c r="F18" s="105" t="s">
        <v>32</v>
      </c>
      <c r="G18" s="107" t="s">
        <v>47</v>
      </c>
      <c r="H18" s="168" t="s">
        <v>834</v>
      </c>
      <c r="I18" s="107" t="s">
        <v>8</v>
      </c>
      <c r="J18" s="107" t="s">
        <v>540</v>
      </c>
      <c r="K18" s="168" t="s">
        <v>581</v>
      </c>
      <c r="L18" s="107" t="s">
        <v>488</v>
      </c>
      <c r="M18" s="107" t="s">
        <v>511</v>
      </c>
      <c r="N18" s="105" t="s">
        <v>511</v>
      </c>
      <c r="O18" s="107"/>
      <c r="P18" s="105"/>
      <c r="Q18" s="107"/>
      <c r="R18" s="105"/>
      <c r="S18" s="107"/>
      <c r="W18" s="78"/>
    </row>
    <row r="19" spans="1:23">
      <c r="A19" s="57" t="s">
        <v>687</v>
      </c>
      <c r="B19" s="266" t="s">
        <v>32</v>
      </c>
      <c r="C19" s="267" t="s">
        <v>406</v>
      </c>
      <c r="D19" s="105"/>
      <c r="E19" s="107" t="s">
        <v>50</v>
      </c>
      <c r="F19" s="105" t="s">
        <v>33</v>
      </c>
      <c r="G19" s="107" t="s">
        <v>48</v>
      </c>
      <c r="H19" s="168" t="s">
        <v>578</v>
      </c>
      <c r="I19" s="107" t="s">
        <v>8</v>
      </c>
      <c r="J19" s="107" t="s">
        <v>477</v>
      </c>
      <c r="K19" s="168" t="s">
        <v>605</v>
      </c>
      <c r="L19" s="107" t="s">
        <v>489</v>
      </c>
      <c r="M19" s="107" t="s">
        <v>512</v>
      </c>
      <c r="N19" s="105" t="s">
        <v>512</v>
      </c>
      <c r="O19" s="107"/>
      <c r="P19" s="105"/>
      <c r="Q19" s="107"/>
      <c r="R19" s="105"/>
      <c r="S19" s="107"/>
      <c r="W19" s="78"/>
    </row>
    <row r="20" spans="1:23">
      <c r="A20" s="57" t="s">
        <v>908</v>
      </c>
      <c r="B20" s="266" t="s">
        <v>33</v>
      </c>
      <c r="C20" s="267" t="s">
        <v>407</v>
      </c>
      <c r="D20" s="105"/>
      <c r="E20" s="107" t="s">
        <v>51</v>
      </c>
      <c r="F20" s="105" t="s">
        <v>34</v>
      </c>
      <c r="G20" s="107" t="s">
        <v>50</v>
      </c>
      <c r="H20" s="168" t="s">
        <v>872</v>
      </c>
      <c r="I20" s="107" t="s">
        <v>8</v>
      </c>
      <c r="J20" s="107" t="s">
        <v>478</v>
      </c>
      <c r="K20" s="168" t="s">
        <v>582</v>
      </c>
      <c r="L20" s="107" t="s">
        <v>527</v>
      </c>
      <c r="M20" s="107" t="s">
        <v>620</v>
      </c>
      <c r="N20" s="105" t="s">
        <v>620</v>
      </c>
      <c r="O20" s="107"/>
      <c r="P20" s="105"/>
      <c r="Q20" s="107"/>
      <c r="R20" s="105"/>
      <c r="S20" s="107"/>
      <c r="W20" s="78"/>
    </row>
    <row r="21" spans="1:23">
      <c r="A21" s="57" t="s">
        <v>793</v>
      </c>
      <c r="B21" s="266" t="s">
        <v>34</v>
      </c>
      <c r="C21" s="267" t="s">
        <v>25</v>
      </c>
      <c r="D21" s="105"/>
      <c r="E21" s="107" t="s">
        <v>52</v>
      </c>
      <c r="F21" s="105" t="s">
        <v>831</v>
      </c>
      <c r="G21" s="107" t="s">
        <v>51</v>
      </c>
      <c r="H21" s="168" t="s">
        <v>584</v>
      </c>
      <c r="I21" s="107" t="s">
        <v>8</v>
      </c>
      <c r="J21" s="107" t="s">
        <v>479</v>
      </c>
      <c r="K21" s="168" t="s">
        <v>772</v>
      </c>
      <c r="L21" s="107" t="s">
        <v>740</v>
      </c>
      <c r="M21" s="107" t="s">
        <v>513</v>
      </c>
      <c r="N21" s="105" t="s">
        <v>513</v>
      </c>
      <c r="O21" s="107"/>
      <c r="P21" s="105"/>
      <c r="Q21" s="107"/>
      <c r="R21" s="105"/>
      <c r="S21" s="107"/>
      <c r="T21" s="78"/>
      <c r="U21" s="78"/>
      <c r="V21" s="78"/>
      <c r="W21" s="78"/>
    </row>
    <row r="22" spans="1:23">
      <c r="A22" s="57" t="s">
        <v>880</v>
      </c>
      <c r="B22" s="266" t="s">
        <v>831</v>
      </c>
      <c r="C22" s="267" t="s">
        <v>408</v>
      </c>
      <c r="D22" s="105"/>
      <c r="E22" s="107" t="s">
        <v>55</v>
      </c>
      <c r="F22" s="105" t="s">
        <v>35</v>
      </c>
      <c r="G22" s="107" t="s">
        <v>52</v>
      </c>
      <c r="H22" s="168" t="s">
        <v>866</v>
      </c>
      <c r="I22" s="107" t="s">
        <v>8</v>
      </c>
      <c r="J22" s="107" t="s">
        <v>480</v>
      </c>
      <c r="K22" s="168" t="s">
        <v>583</v>
      </c>
      <c r="L22" s="107" t="s">
        <v>87</v>
      </c>
      <c r="M22" s="107" t="s">
        <v>519</v>
      </c>
      <c r="N22" s="105" t="s">
        <v>519</v>
      </c>
      <c r="O22" s="107"/>
      <c r="P22" s="105"/>
      <c r="Q22" s="107"/>
      <c r="R22" s="105"/>
      <c r="S22" s="107"/>
      <c r="T22" s="78"/>
      <c r="U22" s="78"/>
      <c r="V22" s="78"/>
      <c r="W22" s="78"/>
    </row>
    <row r="23" spans="1:23">
      <c r="A23" s="57" t="s">
        <v>688</v>
      </c>
      <c r="B23" s="266" t="s">
        <v>35</v>
      </c>
      <c r="C23" s="267" t="s">
        <v>27</v>
      </c>
      <c r="D23" s="105"/>
      <c r="E23" s="107" t="s">
        <v>57</v>
      </c>
      <c r="F23" s="105" t="s">
        <v>37</v>
      </c>
      <c r="G23" s="107" t="s">
        <v>53</v>
      </c>
      <c r="H23" s="168" t="s">
        <v>581</v>
      </c>
      <c r="I23" s="107" t="s">
        <v>8</v>
      </c>
      <c r="J23" s="107"/>
      <c r="K23" s="168" t="s">
        <v>560</v>
      </c>
      <c r="L23" s="107" t="s">
        <v>490</v>
      </c>
      <c r="M23" s="107" t="s">
        <v>88</v>
      </c>
      <c r="N23" s="105" t="s">
        <v>88</v>
      </c>
      <c r="O23" s="107"/>
      <c r="P23" s="105"/>
      <c r="Q23" s="107"/>
      <c r="R23" s="105"/>
      <c r="S23" s="107"/>
      <c r="T23" s="78"/>
      <c r="U23" s="78"/>
      <c r="V23" s="78"/>
      <c r="W23" s="78"/>
    </row>
    <row r="24" spans="1:23">
      <c r="A24" s="57" t="s">
        <v>769</v>
      </c>
      <c r="B24" s="266" t="s">
        <v>36</v>
      </c>
      <c r="C24" s="267" t="s">
        <v>26</v>
      </c>
      <c r="D24" s="105"/>
      <c r="E24" s="107" t="s">
        <v>830</v>
      </c>
      <c r="F24" s="105" t="s">
        <v>832</v>
      </c>
      <c r="G24" s="107" t="s">
        <v>54</v>
      </c>
      <c r="H24" s="168" t="s">
        <v>605</v>
      </c>
      <c r="I24" s="107" t="s">
        <v>8</v>
      </c>
      <c r="J24" s="107"/>
      <c r="K24" s="168" t="s">
        <v>897</v>
      </c>
      <c r="L24" s="107" t="s">
        <v>828</v>
      </c>
      <c r="M24" s="107" t="s">
        <v>91</v>
      </c>
      <c r="N24" s="105" t="s">
        <v>91</v>
      </c>
      <c r="O24" s="107"/>
      <c r="P24" s="105"/>
      <c r="Q24" s="107"/>
      <c r="R24" s="105"/>
      <c r="S24" s="107"/>
      <c r="T24" s="78"/>
      <c r="U24" s="78"/>
      <c r="V24" s="78"/>
      <c r="W24" s="78"/>
    </row>
    <row r="25" spans="1:23">
      <c r="A25" s="57" t="s">
        <v>790</v>
      </c>
      <c r="B25" s="266" t="s">
        <v>37</v>
      </c>
      <c r="C25" s="267" t="s">
        <v>409</v>
      </c>
      <c r="D25" s="105"/>
      <c r="E25" s="107" t="s">
        <v>58</v>
      </c>
      <c r="F25" s="105" t="s">
        <v>38</v>
      </c>
      <c r="G25" s="107" t="s">
        <v>58</v>
      </c>
      <c r="H25" s="168" t="s">
        <v>582</v>
      </c>
      <c r="I25" s="107" t="s">
        <v>8</v>
      </c>
      <c r="J25" s="107"/>
      <c r="K25" s="168" t="s">
        <v>895</v>
      </c>
      <c r="L25" s="107" t="s">
        <v>633</v>
      </c>
      <c r="M25" s="107" t="s">
        <v>622</v>
      </c>
      <c r="N25" s="105"/>
      <c r="O25" s="107"/>
      <c r="P25" s="105"/>
      <c r="Q25" s="107"/>
      <c r="R25" s="105"/>
      <c r="S25" s="107"/>
      <c r="T25" s="78"/>
      <c r="U25" s="78"/>
      <c r="V25" s="78"/>
      <c r="W25" s="78"/>
    </row>
    <row r="26" spans="1:23">
      <c r="A26" s="57" t="s">
        <v>770</v>
      </c>
      <c r="B26" s="266" t="s">
        <v>832</v>
      </c>
      <c r="C26" s="267" t="s">
        <v>809</v>
      </c>
      <c r="D26" s="105"/>
      <c r="E26" s="107" t="s">
        <v>60</v>
      </c>
      <c r="F26" s="105" t="s">
        <v>40</v>
      </c>
      <c r="G26" s="107" t="s">
        <v>59</v>
      </c>
      <c r="H26" s="168" t="s">
        <v>772</v>
      </c>
      <c r="I26" s="107" t="s">
        <v>8</v>
      </c>
      <c r="J26" s="107"/>
      <c r="K26" s="168" t="s">
        <v>896</v>
      </c>
      <c r="L26" s="107" t="s">
        <v>492</v>
      </c>
      <c r="M26" s="107"/>
      <c r="N26" s="105"/>
      <c r="O26" s="107"/>
      <c r="P26" s="105"/>
      <c r="Q26" s="107"/>
      <c r="R26" s="105"/>
      <c r="S26" s="107"/>
    </row>
    <row r="27" spans="1:23">
      <c r="A27" s="57" t="s">
        <v>798</v>
      </c>
      <c r="B27" s="266" t="s">
        <v>38</v>
      </c>
      <c r="C27" s="267" t="s">
        <v>411</v>
      </c>
      <c r="D27" s="105"/>
      <c r="E27" s="107" t="s">
        <v>63</v>
      </c>
      <c r="F27" s="105" t="s">
        <v>39</v>
      </c>
      <c r="G27" s="107" t="s">
        <v>60</v>
      </c>
      <c r="H27" s="168" t="s">
        <v>583</v>
      </c>
      <c r="I27" s="107" t="s">
        <v>8</v>
      </c>
      <c r="J27" s="107"/>
      <c r="K27" s="168" t="s">
        <v>552</v>
      </c>
      <c r="L27" s="107" t="s">
        <v>493</v>
      </c>
      <c r="M27" s="107"/>
      <c r="N27" s="105"/>
      <c r="O27" s="107"/>
      <c r="P27" s="105"/>
      <c r="Q27" s="107"/>
      <c r="R27" s="105"/>
      <c r="S27" s="107"/>
    </row>
    <row r="28" spans="1:23">
      <c r="A28" s="57" t="s">
        <v>921</v>
      </c>
      <c r="B28" s="266" t="s">
        <v>39</v>
      </c>
      <c r="C28" s="267" t="s">
        <v>412</v>
      </c>
      <c r="D28" s="105"/>
      <c r="E28" s="107" t="s">
        <v>64</v>
      </c>
      <c r="F28" s="105" t="s">
        <v>810</v>
      </c>
      <c r="G28" s="107" t="s">
        <v>62</v>
      </c>
      <c r="H28" s="168" t="s">
        <v>560</v>
      </c>
      <c r="I28" s="107" t="s">
        <v>8</v>
      </c>
      <c r="J28" s="107"/>
      <c r="K28" s="168" t="s">
        <v>553</v>
      </c>
      <c r="L28" s="107" t="s">
        <v>494</v>
      </c>
      <c r="M28" s="107"/>
      <c r="N28" s="105"/>
      <c r="O28" s="107"/>
      <c r="P28" s="105"/>
      <c r="Q28" s="107"/>
      <c r="R28" s="105"/>
      <c r="S28" s="107"/>
    </row>
    <row r="29" spans="1:23">
      <c r="A29" s="271" t="s">
        <v>176</v>
      </c>
      <c r="B29" s="266" t="s">
        <v>40</v>
      </c>
      <c r="C29" s="267" t="s">
        <v>829</v>
      </c>
      <c r="D29" s="105"/>
      <c r="E29" s="107" t="s">
        <v>65</v>
      </c>
      <c r="F29" s="105" t="s">
        <v>43</v>
      </c>
      <c r="G29" s="107" t="s">
        <v>64</v>
      </c>
      <c r="H29" s="168" t="s">
        <v>897</v>
      </c>
      <c r="I29" s="107" t="s">
        <v>8</v>
      </c>
      <c r="J29" s="107"/>
      <c r="K29" s="168" t="s">
        <v>554</v>
      </c>
      <c r="L29" s="107" t="s">
        <v>495</v>
      </c>
      <c r="M29" s="107"/>
      <c r="N29" s="105"/>
      <c r="O29" s="107"/>
      <c r="P29" s="105"/>
      <c r="Q29" s="107"/>
      <c r="R29" s="105"/>
      <c r="S29" s="107"/>
    </row>
    <row r="30" spans="1:23">
      <c r="A30" s="102" t="s">
        <v>710</v>
      </c>
      <c r="B30" s="266" t="s">
        <v>41</v>
      </c>
      <c r="C30" s="267" t="s">
        <v>28</v>
      </c>
      <c r="D30" s="105"/>
      <c r="E30" s="107" t="s">
        <v>68</v>
      </c>
      <c r="F30" s="105" t="s">
        <v>44</v>
      </c>
      <c r="G30" s="107" t="s">
        <v>65</v>
      </c>
      <c r="H30" s="168" t="s">
        <v>895</v>
      </c>
      <c r="I30" s="107" t="s">
        <v>8</v>
      </c>
      <c r="J30" s="107"/>
      <c r="K30" s="168" t="s">
        <v>555</v>
      </c>
      <c r="L30" s="107" t="s">
        <v>496</v>
      </c>
      <c r="M30" s="107"/>
      <c r="N30" s="105"/>
      <c r="O30" s="107"/>
      <c r="P30" s="105"/>
      <c r="Q30" s="107"/>
      <c r="R30" s="105"/>
      <c r="S30" s="107"/>
    </row>
    <row r="31" spans="1:23">
      <c r="A31" s="107" t="s">
        <v>881</v>
      </c>
      <c r="B31" s="266" t="s">
        <v>810</v>
      </c>
      <c r="C31" s="267" t="s">
        <v>29</v>
      </c>
      <c r="D31" s="105"/>
      <c r="E31" s="107" t="s">
        <v>70</v>
      </c>
      <c r="F31" s="105" t="s">
        <v>45</v>
      </c>
      <c r="G31" s="107" t="s">
        <v>67</v>
      </c>
      <c r="H31" s="168" t="s">
        <v>896</v>
      </c>
      <c r="I31" s="107" t="s">
        <v>8</v>
      </c>
      <c r="J31" s="107"/>
      <c r="K31" s="168" t="s">
        <v>609</v>
      </c>
      <c r="L31" s="107" t="s">
        <v>618</v>
      </c>
      <c r="M31" s="107"/>
      <c r="N31" s="105"/>
      <c r="O31" s="107"/>
      <c r="P31" s="105"/>
      <c r="Q31" s="107"/>
      <c r="R31" s="105"/>
      <c r="S31" s="107"/>
    </row>
    <row r="32" spans="1:23">
      <c r="A32" s="107" t="s">
        <v>882</v>
      </c>
      <c r="B32" s="266" t="s">
        <v>43</v>
      </c>
      <c r="C32" s="267" t="s">
        <v>30</v>
      </c>
      <c r="D32" s="105"/>
      <c r="E32" s="107" t="s">
        <v>71</v>
      </c>
      <c r="F32" s="105" t="s">
        <v>46</v>
      </c>
      <c r="G32" s="107" t="s">
        <v>69</v>
      </c>
      <c r="H32" s="168" t="s">
        <v>552</v>
      </c>
      <c r="I32" s="107" t="s">
        <v>8</v>
      </c>
      <c r="J32" s="107"/>
      <c r="K32" s="168" t="s">
        <v>556</v>
      </c>
      <c r="L32" s="107" t="s">
        <v>497</v>
      </c>
      <c r="M32" s="107"/>
      <c r="N32" s="105"/>
      <c r="O32" s="107"/>
      <c r="P32" s="105"/>
      <c r="Q32" s="107"/>
      <c r="R32" s="105"/>
      <c r="S32" s="107"/>
    </row>
    <row r="33" spans="1:19">
      <c r="A33" s="107" t="s">
        <v>900</v>
      </c>
      <c r="B33" s="266" t="s">
        <v>44</v>
      </c>
      <c r="C33" s="267" t="s">
        <v>31</v>
      </c>
      <c r="D33" s="105"/>
      <c r="E33" s="107" t="s">
        <v>72</v>
      </c>
      <c r="F33" s="105" t="s">
        <v>47</v>
      </c>
      <c r="G33" s="107" t="s">
        <v>72</v>
      </c>
      <c r="H33" s="168" t="s">
        <v>553</v>
      </c>
      <c r="I33" s="107" t="s">
        <v>8</v>
      </c>
      <c r="J33" s="107"/>
      <c r="K33" s="168" t="s">
        <v>557</v>
      </c>
      <c r="L33" s="107" t="s">
        <v>80</v>
      </c>
      <c r="M33" s="107"/>
      <c r="N33" s="105"/>
      <c r="O33" s="107"/>
      <c r="P33" s="105"/>
      <c r="Q33" s="107"/>
      <c r="R33" s="105"/>
      <c r="S33" s="107"/>
    </row>
    <row r="34" spans="1:19">
      <c r="A34" s="107" t="s">
        <v>883</v>
      </c>
      <c r="B34" s="266" t="s">
        <v>45</v>
      </c>
      <c r="C34" s="267" t="s">
        <v>413</v>
      </c>
      <c r="D34" s="105"/>
      <c r="E34" s="107"/>
      <c r="F34" s="105" t="s">
        <v>48</v>
      </c>
      <c r="G34" s="107"/>
      <c r="H34" s="168" t="s">
        <v>554</v>
      </c>
      <c r="I34" s="107" t="s">
        <v>8</v>
      </c>
      <c r="J34" s="107"/>
      <c r="K34" s="168" t="s">
        <v>558</v>
      </c>
      <c r="L34" s="107" t="s">
        <v>81</v>
      </c>
      <c r="M34" s="107"/>
      <c r="N34" s="105"/>
      <c r="O34" s="107"/>
      <c r="P34" s="105"/>
      <c r="Q34" s="107"/>
      <c r="R34" s="105"/>
      <c r="S34" s="107"/>
    </row>
    <row r="35" spans="1:19">
      <c r="A35" s="107" t="s">
        <v>889</v>
      </c>
      <c r="B35" s="266" t="s">
        <v>46</v>
      </c>
      <c r="C35" s="267" t="s">
        <v>32</v>
      </c>
      <c r="D35" s="105"/>
      <c r="E35" s="107"/>
      <c r="F35" s="105" t="s">
        <v>49</v>
      </c>
      <c r="G35" s="107"/>
      <c r="H35" s="168" t="s">
        <v>555</v>
      </c>
      <c r="I35" s="107" t="s">
        <v>8</v>
      </c>
      <c r="J35" s="107"/>
      <c r="K35" s="168" t="s">
        <v>590</v>
      </c>
      <c r="L35" s="107" t="s">
        <v>616</v>
      </c>
      <c r="M35" s="107"/>
      <c r="N35" s="105"/>
      <c r="O35" s="107"/>
      <c r="P35" s="105"/>
      <c r="Q35" s="107"/>
      <c r="R35" s="105"/>
      <c r="S35" s="107"/>
    </row>
    <row r="36" spans="1:19">
      <c r="A36" s="107" t="s">
        <v>182</v>
      </c>
      <c r="B36" s="266" t="s">
        <v>47</v>
      </c>
      <c r="C36" s="267" t="s">
        <v>33</v>
      </c>
      <c r="D36" s="105"/>
      <c r="E36" s="107"/>
      <c r="F36" s="105" t="s">
        <v>50</v>
      </c>
      <c r="G36" s="107"/>
      <c r="H36" s="168" t="s">
        <v>609</v>
      </c>
      <c r="I36" s="107" t="s">
        <v>8</v>
      </c>
      <c r="J36" s="107"/>
      <c r="K36" s="168" t="s">
        <v>559</v>
      </c>
      <c r="L36" s="107" t="s">
        <v>630</v>
      </c>
      <c r="M36" s="107"/>
      <c r="N36" s="105"/>
      <c r="O36" s="107"/>
      <c r="P36" s="105"/>
      <c r="Q36" s="107"/>
      <c r="R36" s="105"/>
      <c r="S36" s="107"/>
    </row>
    <row r="37" spans="1:19">
      <c r="A37" s="107" t="s">
        <v>522</v>
      </c>
      <c r="B37" s="266" t="s">
        <v>48</v>
      </c>
      <c r="C37" s="267" t="s">
        <v>414</v>
      </c>
      <c r="D37" s="105"/>
      <c r="E37" s="107"/>
      <c r="F37" s="105" t="s">
        <v>51</v>
      </c>
      <c r="G37" s="107"/>
      <c r="H37" s="168" t="s">
        <v>556</v>
      </c>
      <c r="I37" s="107" t="s">
        <v>8</v>
      </c>
      <c r="J37" s="107"/>
      <c r="K37" s="168" t="s">
        <v>603</v>
      </c>
      <c r="L37" s="107" t="s">
        <v>811</v>
      </c>
      <c r="M37" s="107"/>
      <c r="N37" s="105"/>
      <c r="O37" s="107"/>
      <c r="P37" s="105"/>
      <c r="Q37" s="107"/>
      <c r="R37" s="105"/>
      <c r="S37" s="107"/>
    </row>
    <row r="38" spans="1:19">
      <c r="A38" s="107" t="s">
        <v>128</v>
      </c>
      <c r="B38" s="266" t="s">
        <v>49</v>
      </c>
      <c r="C38" s="267" t="s">
        <v>415</v>
      </c>
      <c r="D38" s="105"/>
      <c r="E38" s="107"/>
      <c r="F38" s="105" t="s">
        <v>52</v>
      </c>
      <c r="G38" s="107"/>
      <c r="H38" s="168" t="s">
        <v>557</v>
      </c>
      <c r="I38" s="107" t="s">
        <v>8</v>
      </c>
      <c r="J38" s="107"/>
      <c r="K38" s="168" t="s">
        <v>549</v>
      </c>
      <c r="L38" s="107" t="s">
        <v>517</v>
      </c>
      <c r="M38" s="107"/>
      <c r="N38" s="105"/>
      <c r="O38" s="107"/>
      <c r="P38" s="105"/>
      <c r="Q38" s="107"/>
      <c r="R38" s="105"/>
      <c r="S38" s="107"/>
    </row>
    <row r="39" spans="1:19">
      <c r="A39" s="107" t="s">
        <v>873</v>
      </c>
      <c r="B39" s="266" t="s">
        <v>50</v>
      </c>
      <c r="C39" s="267" t="s">
        <v>34</v>
      </c>
      <c r="D39" s="105"/>
      <c r="E39" s="107"/>
      <c r="F39" s="105" t="s">
        <v>53</v>
      </c>
      <c r="G39" s="107"/>
      <c r="H39" s="168" t="s">
        <v>558</v>
      </c>
      <c r="I39" s="107" t="s">
        <v>8</v>
      </c>
      <c r="J39" s="107"/>
      <c r="K39" s="168" t="s">
        <v>601</v>
      </c>
      <c r="L39" s="107" t="s">
        <v>617</v>
      </c>
      <c r="M39" s="107"/>
      <c r="N39" s="105"/>
      <c r="O39" s="107"/>
      <c r="P39" s="105"/>
      <c r="Q39" s="107"/>
      <c r="R39" s="105"/>
      <c r="S39" s="107"/>
    </row>
    <row r="40" spans="1:19">
      <c r="A40" s="107" t="s">
        <v>915</v>
      </c>
      <c r="B40" s="266" t="s">
        <v>51</v>
      </c>
      <c r="C40" s="267" t="s">
        <v>416</v>
      </c>
      <c r="D40" s="105"/>
      <c r="E40" s="107"/>
      <c r="F40" s="105" t="s">
        <v>54</v>
      </c>
      <c r="G40" s="107"/>
      <c r="H40" s="168" t="s">
        <v>590</v>
      </c>
      <c r="I40" s="107" t="s">
        <v>8</v>
      </c>
      <c r="J40" s="107"/>
      <c r="K40" s="168" t="s">
        <v>591</v>
      </c>
      <c r="L40" s="107" t="s">
        <v>518</v>
      </c>
      <c r="M40" s="107"/>
      <c r="N40" s="105"/>
      <c r="O40" s="107"/>
      <c r="P40" s="105"/>
      <c r="Q40" s="107"/>
      <c r="R40" s="105"/>
      <c r="S40" s="107"/>
    </row>
    <row r="41" spans="1:19">
      <c r="A41" s="107" t="s">
        <v>762</v>
      </c>
      <c r="B41" s="266" t="s">
        <v>52</v>
      </c>
      <c r="C41" s="267" t="s">
        <v>831</v>
      </c>
      <c r="D41" s="105"/>
      <c r="E41" s="107"/>
      <c r="F41" s="105" t="s">
        <v>55</v>
      </c>
      <c r="G41" s="107"/>
      <c r="H41" s="168" t="s">
        <v>559</v>
      </c>
      <c r="I41" s="107" t="s">
        <v>8</v>
      </c>
      <c r="J41" s="107"/>
      <c r="K41" s="168" t="s">
        <v>548</v>
      </c>
      <c r="L41" s="107" t="s">
        <v>812</v>
      </c>
      <c r="M41" s="107"/>
      <c r="N41" s="105"/>
      <c r="O41" s="107"/>
      <c r="P41" s="105"/>
      <c r="Q41" s="107"/>
      <c r="R41" s="105"/>
      <c r="S41" s="107"/>
    </row>
    <row r="42" spans="1:19">
      <c r="A42" s="107" t="s">
        <v>803</v>
      </c>
      <c r="B42" s="266" t="s">
        <v>53</v>
      </c>
      <c r="C42" s="267" t="s">
        <v>35</v>
      </c>
      <c r="D42" s="105"/>
      <c r="E42" s="107"/>
      <c r="F42" s="105" t="s">
        <v>56</v>
      </c>
      <c r="G42" s="107"/>
      <c r="H42" s="168" t="s">
        <v>603</v>
      </c>
      <c r="I42" s="107" t="s">
        <v>7</v>
      </c>
      <c r="J42" s="107"/>
      <c r="K42" s="168" t="s">
        <v>898</v>
      </c>
      <c r="L42" s="107" t="s">
        <v>498</v>
      </c>
      <c r="M42" s="107"/>
      <c r="N42" s="105"/>
      <c r="O42" s="107"/>
      <c r="P42" s="105"/>
      <c r="Q42" s="107"/>
      <c r="R42" s="105"/>
      <c r="S42" s="107"/>
    </row>
    <row r="43" spans="1:19">
      <c r="A43" s="107" t="s">
        <v>183</v>
      </c>
      <c r="B43" s="266" t="s">
        <v>54</v>
      </c>
      <c r="C43" s="267" t="s">
        <v>36</v>
      </c>
      <c r="D43" s="105"/>
      <c r="E43" s="107"/>
      <c r="F43" s="105" t="s">
        <v>57</v>
      </c>
      <c r="G43" s="107"/>
      <c r="H43" s="168" t="s">
        <v>466</v>
      </c>
      <c r="I43" s="107" t="s">
        <v>7</v>
      </c>
      <c r="J43" s="107"/>
      <c r="K43" s="168" t="s">
        <v>547</v>
      </c>
      <c r="L43" s="107" t="s">
        <v>499</v>
      </c>
      <c r="M43" s="107"/>
      <c r="N43" s="105"/>
      <c r="O43" s="107"/>
      <c r="P43" s="105"/>
      <c r="Q43" s="107"/>
      <c r="R43" s="105"/>
      <c r="S43" s="107"/>
    </row>
    <row r="44" spans="1:19">
      <c r="A44" s="107" t="s">
        <v>163</v>
      </c>
      <c r="B44" s="266" t="s">
        <v>55</v>
      </c>
      <c r="C44" s="267" t="s">
        <v>417</v>
      </c>
      <c r="D44" s="105"/>
      <c r="E44" s="107"/>
      <c r="F44" s="105" t="s">
        <v>830</v>
      </c>
      <c r="G44" s="107"/>
      <c r="H44" s="168" t="s">
        <v>467</v>
      </c>
      <c r="I44" s="107" t="s">
        <v>7</v>
      </c>
      <c r="J44" s="107"/>
      <c r="K44" s="168" t="s">
        <v>595</v>
      </c>
      <c r="L44" s="107" t="s">
        <v>814</v>
      </c>
      <c r="M44" s="107"/>
      <c r="N44" s="105"/>
      <c r="O44" s="107"/>
      <c r="P44" s="105"/>
      <c r="Q44" s="107"/>
      <c r="R44" s="105"/>
      <c r="S44" s="107"/>
    </row>
    <row r="45" spans="1:19">
      <c r="A45" s="107" t="s">
        <v>885</v>
      </c>
      <c r="B45" s="266" t="s">
        <v>56</v>
      </c>
      <c r="C45" s="267" t="s">
        <v>37</v>
      </c>
      <c r="D45" s="105"/>
      <c r="E45" s="107"/>
      <c r="F45" s="105" t="s">
        <v>58</v>
      </c>
      <c r="G45" s="107"/>
      <c r="H45" s="168" t="s">
        <v>468</v>
      </c>
      <c r="I45" s="107" t="s">
        <v>7</v>
      </c>
      <c r="J45" s="107"/>
      <c r="K45" s="168" t="s">
        <v>597</v>
      </c>
      <c r="L45" s="107" t="s">
        <v>500</v>
      </c>
      <c r="M45" s="107"/>
      <c r="N45" s="105"/>
      <c r="O45" s="107"/>
      <c r="P45" s="105"/>
      <c r="Q45" s="107"/>
      <c r="R45" s="105"/>
      <c r="S45" s="107"/>
    </row>
    <row r="46" spans="1:19">
      <c r="A46" s="107" t="s">
        <v>111</v>
      </c>
      <c r="B46" s="266" t="s">
        <v>57</v>
      </c>
      <c r="C46" s="267" t="s">
        <v>418</v>
      </c>
      <c r="D46" s="105"/>
      <c r="E46" s="107"/>
      <c r="F46" s="105" t="s">
        <v>60</v>
      </c>
      <c r="G46" s="107"/>
      <c r="H46" s="168" t="s">
        <v>549</v>
      </c>
      <c r="I46" s="107" t="s">
        <v>10</v>
      </c>
      <c r="J46" s="107"/>
      <c r="K46" s="168" t="s">
        <v>596</v>
      </c>
      <c r="L46" s="107" t="s">
        <v>501</v>
      </c>
      <c r="M46" s="107"/>
      <c r="N46" s="105"/>
      <c r="O46" s="107"/>
      <c r="P46" s="105"/>
      <c r="Q46" s="107"/>
      <c r="R46" s="105"/>
      <c r="S46" s="107"/>
    </row>
    <row r="47" spans="1:19">
      <c r="A47" s="107" t="s">
        <v>151</v>
      </c>
      <c r="B47" s="266" t="s">
        <v>830</v>
      </c>
      <c r="C47" s="267" t="s">
        <v>832</v>
      </c>
      <c r="D47" s="105"/>
      <c r="E47" s="107"/>
      <c r="F47" s="105" t="s">
        <v>61</v>
      </c>
      <c r="G47" s="107"/>
      <c r="H47" s="168" t="s">
        <v>601</v>
      </c>
      <c r="I47" s="107" t="s">
        <v>10</v>
      </c>
      <c r="J47" s="107"/>
      <c r="K47" s="168" t="s">
        <v>598</v>
      </c>
      <c r="L47" s="107" t="s">
        <v>783</v>
      </c>
      <c r="M47" s="107"/>
      <c r="N47" s="105"/>
      <c r="O47" s="107"/>
      <c r="P47" s="105"/>
      <c r="Q47" s="107"/>
      <c r="R47" s="105"/>
      <c r="S47" s="107"/>
    </row>
    <row r="48" spans="1:19">
      <c r="A48" s="107" t="s">
        <v>107</v>
      </c>
      <c r="B48" s="266" t="s">
        <v>58</v>
      </c>
      <c r="C48" s="267" t="s">
        <v>419</v>
      </c>
      <c r="D48" s="105"/>
      <c r="E48" s="107"/>
      <c r="F48" s="105" t="s">
        <v>62</v>
      </c>
      <c r="G48" s="107"/>
      <c r="H48" s="168" t="s">
        <v>469</v>
      </c>
      <c r="I48" s="107" t="s">
        <v>7</v>
      </c>
      <c r="J48" s="107"/>
      <c r="K48" s="168" t="s">
        <v>599</v>
      </c>
      <c r="L48" s="107" t="s">
        <v>784</v>
      </c>
      <c r="M48" s="107"/>
      <c r="N48" s="105"/>
      <c r="O48" s="107"/>
      <c r="P48" s="105"/>
      <c r="Q48" s="107"/>
      <c r="R48" s="105"/>
      <c r="S48" s="107"/>
    </row>
    <row r="49" spans="1:19">
      <c r="A49" s="107" t="s">
        <v>171</v>
      </c>
      <c r="B49" s="266" t="s">
        <v>59</v>
      </c>
      <c r="C49" s="267" t="s">
        <v>38</v>
      </c>
      <c r="D49" s="105"/>
      <c r="E49" s="107"/>
      <c r="F49" s="105" t="s">
        <v>64</v>
      </c>
      <c r="G49" s="107"/>
      <c r="H49" s="168" t="s">
        <v>470</v>
      </c>
      <c r="I49" s="107" t="s">
        <v>7</v>
      </c>
      <c r="J49" s="107"/>
      <c r="K49" s="168" t="s">
        <v>544</v>
      </c>
      <c r="L49" s="107" t="s">
        <v>79</v>
      </c>
      <c r="M49" s="107"/>
      <c r="N49" s="105"/>
      <c r="O49" s="107"/>
      <c r="P49" s="105"/>
      <c r="Q49" s="107"/>
      <c r="R49" s="105"/>
      <c r="S49" s="107"/>
    </row>
    <row r="50" spans="1:19">
      <c r="A50" s="271" t="s">
        <v>180</v>
      </c>
      <c r="B50" s="266" t="s">
        <v>60</v>
      </c>
      <c r="C50" s="267" t="s">
        <v>420</v>
      </c>
      <c r="D50" s="105"/>
      <c r="E50" s="107"/>
      <c r="F50" s="105" t="s">
        <v>65</v>
      </c>
      <c r="G50" s="107"/>
      <c r="H50" s="168" t="s">
        <v>591</v>
      </c>
      <c r="I50" s="107" t="s">
        <v>7</v>
      </c>
      <c r="J50" s="107"/>
      <c r="K50" s="168" t="s">
        <v>543</v>
      </c>
      <c r="L50" s="107" t="s">
        <v>822</v>
      </c>
      <c r="M50" s="107"/>
      <c r="N50" s="105"/>
      <c r="O50" s="107"/>
      <c r="P50" s="105"/>
      <c r="Q50" s="107"/>
      <c r="R50" s="105"/>
      <c r="S50" s="107"/>
    </row>
    <row r="51" spans="1:19">
      <c r="A51" s="107" t="s">
        <v>105</v>
      </c>
      <c r="B51" s="266" t="s">
        <v>61</v>
      </c>
      <c r="C51" s="267" t="s">
        <v>421</v>
      </c>
      <c r="D51" s="105"/>
      <c r="E51" s="107"/>
      <c r="F51" s="105" t="s">
        <v>66</v>
      </c>
      <c r="G51" s="107"/>
      <c r="H51" s="168" t="s">
        <v>548</v>
      </c>
      <c r="I51" s="107" t="s">
        <v>7</v>
      </c>
      <c r="J51" s="107"/>
      <c r="K51" s="168" t="s">
        <v>542</v>
      </c>
      <c r="L51" s="107" t="s">
        <v>909</v>
      </c>
      <c r="M51" s="107"/>
      <c r="N51" s="105"/>
      <c r="O51" s="107"/>
      <c r="P51" s="105"/>
      <c r="Q51" s="107"/>
      <c r="R51" s="105"/>
      <c r="S51" s="107"/>
    </row>
    <row r="52" spans="1:19">
      <c r="A52" s="107" t="s">
        <v>913</v>
      </c>
      <c r="B52" s="266" t="s">
        <v>62</v>
      </c>
      <c r="C52" s="267" t="s">
        <v>39</v>
      </c>
      <c r="D52" s="105"/>
      <c r="E52" s="107"/>
      <c r="F52" s="105" t="s">
        <v>67</v>
      </c>
      <c r="G52" s="107"/>
      <c r="H52" s="168" t="s">
        <v>471</v>
      </c>
      <c r="I52" s="107" t="s">
        <v>8</v>
      </c>
      <c r="J52" s="107"/>
      <c r="K52" s="168" t="s">
        <v>775</v>
      </c>
      <c r="L52" s="107" t="s">
        <v>910</v>
      </c>
      <c r="M52" s="107"/>
      <c r="N52" s="105"/>
      <c r="O52" s="107"/>
      <c r="P52" s="105"/>
      <c r="Q52" s="107"/>
      <c r="R52" s="105"/>
      <c r="S52" s="107"/>
    </row>
    <row r="53" spans="1:19">
      <c r="A53" s="107" t="s">
        <v>149</v>
      </c>
      <c r="B53" s="266" t="s">
        <v>63</v>
      </c>
      <c r="C53" s="267" t="s">
        <v>40</v>
      </c>
      <c r="D53" s="105"/>
      <c r="E53" s="107"/>
      <c r="F53" s="105" t="s">
        <v>68</v>
      </c>
      <c r="G53" s="107"/>
      <c r="H53" s="168" t="s">
        <v>898</v>
      </c>
      <c r="I53" s="107" t="s">
        <v>10</v>
      </c>
      <c r="J53" s="107"/>
      <c r="K53" s="168" t="s">
        <v>776</v>
      </c>
      <c r="L53" s="107" t="s">
        <v>624</v>
      </c>
      <c r="M53" s="107"/>
      <c r="N53" s="105"/>
      <c r="O53" s="107"/>
      <c r="P53" s="105"/>
      <c r="Q53" s="107"/>
      <c r="R53" s="105"/>
      <c r="S53" s="107"/>
    </row>
    <row r="54" spans="1:19">
      <c r="A54" s="107" t="s">
        <v>914</v>
      </c>
      <c r="B54" s="266" t="s">
        <v>64</v>
      </c>
      <c r="C54" s="267" t="s">
        <v>41</v>
      </c>
      <c r="D54" s="105"/>
      <c r="E54" s="107"/>
      <c r="F54" s="105" t="s">
        <v>70</v>
      </c>
      <c r="G54" s="107"/>
      <c r="H54" s="168" t="s">
        <v>547</v>
      </c>
      <c r="I54" s="107" t="s">
        <v>10</v>
      </c>
      <c r="J54" s="107"/>
      <c r="K54" s="168" t="s">
        <v>561</v>
      </c>
      <c r="L54" s="107" t="s">
        <v>502</v>
      </c>
      <c r="M54" s="107"/>
      <c r="N54" s="105"/>
      <c r="O54" s="107"/>
      <c r="P54" s="105"/>
      <c r="Q54" s="107"/>
      <c r="R54" s="105"/>
      <c r="S54" s="107"/>
    </row>
    <row r="55" spans="1:19">
      <c r="A55" s="102" t="s">
        <v>758</v>
      </c>
      <c r="B55" s="266" t="s">
        <v>65</v>
      </c>
      <c r="C55" s="267" t="s">
        <v>810</v>
      </c>
      <c r="D55" s="105"/>
      <c r="E55" s="107"/>
      <c r="F55" s="105" t="s">
        <v>71</v>
      </c>
      <c r="G55" s="107"/>
      <c r="H55" s="168" t="s">
        <v>595</v>
      </c>
      <c r="I55" s="107" t="s">
        <v>10</v>
      </c>
      <c r="J55" s="107"/>
      <c r="K55" s="168" t="s">
        <v>892</v>
      </c>
      <c r="L55" s="107" t="s">
        <v>792</v>
      </c>
      <c r="M55" s="107"/>
      <c r="N55" s="105"/>
      <c r="O55" s="107"/>
      <c r="P55" s="105"/>
      <c r="Q55" s="107"/>
      <c r="R55" s="105"/>
      <c r="S55" s="107"/>
    </row>
    <row r="56" spans="1:19">
      <c r="A56" s="102" t="s">
        <v>691</v>
      </c>
      <c r="B56" s="266" t="s">
        <v>66</v>
      </c>
      <c r="C56" s="267" t="s">
        <v>43</v>
      </c>
      <c r="D56" s="105"/>
      <c r="E56" s="107"/>
      <c r="F56" s="105" t="s">
        <v>72</v>
      </c>
      <c r="G56" s="107"/>
      <c r="H56" s="168" t="s">
        <v>597</v>
      </c>
      <c r="I56" s="107" t="s">
        <v>10</v>
      </c>
      <c r="J56" s="107"/>
      <c r="K56" s="168" t="s">
        <v>562</v>
      </c>
      <c r="L56" s="107" t="s">
        <v>503</v>
      </c>
      <c r="M56" s="107"/>
      <c r="N56" s="105"/>
      <c r="O56" s="107"/>
      <c r="P56" s="105"/>
      <c r="Q56" s="107"/>
      <c r="R56" s="105"/>
      <c r="S56" s="107"/>
    </row>
    <row r="57" spans="1:19">
      <c r="A57" s="107" t="s">
        <v>125</v>
      </c>
      <c r="B57" s="266" t="s">
        <v>67</v>
      </c>
      <c r="C57" s="267" t="s">
        <v>422</v>
      </c>
      <c r="D57" s="105"/>
      <c r="E57" s="107"/>
      <c r="G57" s="107"/>
      <c r="H57" s="168" t="s">
        <v>596</v>
      </c>
      <c r="I57" s="107" t="s">
        <v>10</v>
      </c>
      <c r="J57" s="107"/>
      <c r="K57" s="168" t="s">
        <v>563</v>
      </c>
      <c r="L57" s="107" t="s">
        <v>504</v>
      </c>
      <c r="M57" s="107"/>
      <c r="N57" s="105"/>
      <c r="O57" s="107"/>
      <c r="P57" s="105"/>
      <c r="Q57" s="107"/>
      <c r="R57" s="105"/>
      <c r="S57" s="107"/>
    </row>
    <row r="58" spans="1:19">
      <c r="A58" s="107" t="s">
        <v>112</v>
      </c>
      <c r="B58" s="266" t="s">
        <v>68</v>
      </c>
      <c r="C58" s="267" t="s">
        <v>423</v>
      </c>
      <c r="D58" s="105"/>
      <c r="E58" s="107"/>
      <c r="F58" s="105"/>
      <c r="G58" s="107"/>
      <c r="H58" s="168" t="s">
        <v>598</v>
      </c>
      <c r="I58" s="107" t="s">
        <v>8</v>
      </c>
      <c r="J58" s="107"/>
      <c r="K58" s="168" t="s">
        <v>589</v>
      </c>
      <c r="L58" s="107" t="s">
        <v>505</v>
      </c>
      <c r="M58" s="107"/>
      <c r="N58" s="105"/>
      <c r="O58" s="107"/>
      <c r="P58" s="105"/>
      <c r="Q58" s="107"/>
      <c r="R58" s="105"/>
      <c r="S58" s="107"/>
    </row>
    <row r="59" spans="1:19">
      <c r="A59" s="271" t="s">
        <v>806</v>
      </c>
      <c r="B59" s="266" t="s">
        <v>69</v>
      </c>
      <c r="C59" s="267" t="s">
        <v>44</v>
      </c>
      <c r="D59" s="105"/>
      <c r="E59" s="107"/>
      <c r="F59" s="105"/>
      <c r="G59" s="107"/>
      <c r="H59" s="168" t="s">
        <v>599</v>
      </c>
      <c r="I59" s="107" t="s">
        <v>7</v>
      </c>
      <c r="J59" s="107"/>
      <c r="K59" s="168" t="s">
        <v>565</v>
      </c>
      <c r="L59" s="107" t="s">
        <v>869</v>
      </c>
      <c r="M59" s="107"/>
      <c r="N59" s="105"/>
      <c r="O59" s="107"/>
      <c r="P59" s="105"/>
      <c r="Q59" s="107"/>
      <c r="R59" s="105"/>
      <c r="S59" s="107"/>
    </row>
    <row r="60" spans="1:19">
      <c r="A60" s="271" t="s">
        <v>177</v>
      </c>
      <c r="B60" s="266" t="s">
        <v>70</v>
      </c>
      <c r="C60" s="267" t="s">
        <v>424</v>
      </c>
      <c r="D60" s="105"/>
      <c r="E60" s="107"/>
      <c r="F60" s="105"/>
      <c r="G60" s="107"/>
      <c r="H60" s="168" t="s">
        <v>544</v>
      </c>
      <c r="I60" s="107" t="s">
        <v>7</v>
      </c>
      <c r="J60" s="107"/>
      <c r="K60" s="168" t="s">
        <v>778</v>
      </c>
      <c r="L60" s="107" t="s">
        <v>506</v>
      </c>
      <c r="M60" s="107"/>
      <c r="N60" s="105"/>
      <c r="O60" s="107"/>
      <c r="P60" s="105"/>
      <c r="Q60" s="107"/>
      <c r="R60" s="105"/>
      <c r="S60" s="107"/>
    </row>
    <row r="61" spans="1:19">
      <c r="A61" s="107" t="s">
        <v>116</v>
      </c>
      <c r="B61" s="266" t="s">
        <v>71</v>
      </c>
      <c r="C61" s="267" t="s">
        <v>45</v>
      </c>
      <c r="D61" s="105"/>
      <c r="E61" s="107"/>
      <c r="F61" s="105"/>
      <c r="G61" s="107"/>
      <c r="H61" s="168" t="s">
        <v>543</v>
      </c>
      <c r="I61" s="107" t="s">
        <v>8</v>
      </c>
      <c r="J61" s="107"/>
      <c r="K61" s="168" t="s">
        <v>779</v>
      </c>
      <c r="L61" s="107" t="s">
        <v>791</v>
      </c>
      <c r="M61" s="107"/>
      <c r="N61" s="105"/>
      <c r="O61" s="107"/>
      <c r="P61" s="105"/>
      <c r="Q61" s="107"/>
      <c r="R61" s="105"/>
      <c r="S61" s="107"/>
    </row>
    <row r="62" spans="1:19">
      <c r="A62" s="107" t="s">
        <v>118</v>
      </c>
      <c r="B62" s="266" t="s">
        <v>72</v>
      </c>
      <c r="C62" s="267" t="s">
        <v>425</v>
      </c>
      <c r="D62" s="105"/>
      <c r="E62" s="107"/>
      <c r="F62" s="105"/>
      <c r="G62" s="107"/>
      <c r="H62" s="168" t="s">
        <v>472</v>
      </c>
      <c r="I62" s="107" t="s">
        <v>8</v>
      </c>
      <c r="J62" s="107"/>
      <c r="K62" s="168" t="s">
        <v>780</v>
      </c>
      <c r="L62" s="107" t="s">
        <v>507</v>
      </c>
      <c r="M62" s="107"/>
      <c r="N62" s="105"/>
      <c r="O62" s="107"/>
      <c r="P62" s="105"/>
      <c r="Q62" s="107"/>
      <c r="R62" s="105"/>
      <c r="S62" s="107"/>
    </row>
    <row r="63" spans="1:19">
      <c r="A63" s="107" t="s">
        <v>836</v>
      </c>
      <c r="B63" s="266"/>
      <c r="C63" s="267" t="s">
        <v>46</v>
      </c>
      <c r="D63" s="105"/>
      <c r="E63" s="107"/>
      <c r="F63" s="105"/>
      <c r="G63" s="107"/>
      <c r="H63" s="168" t="s">
        <v>542</v>
      </c>
      <c r="I63" s="107" t="s">
        <v>8</v>
      </c>
      <c r="J63" s="107"/>
      <c r="K63" s="168" t="s">
        <v>781</v>
      </c>
      <c r="L63" s="107" t="s">
        <v>625</v>
      </c>
      <c r="M63" s="107"/>
      <c r="N63" s="105"/>
      <c r="O63" s="107"/>
      <c r="P63" s="105"/>
      <c r="Q63" s="107"/>
      <c r="R63" s="105"/>
      <c r="S63" s="107"/>
    </row>
    <row r="64" spans="1:19">
      <c r="A64" s="57" t="s">
        <v>759</v>
      </c>
      <c r="B64" s="266"/>
      <c r="C64" s="267" t="s">
        <v>427</v>
      </c>
      <c r="D64" s="105"/>
      <c r="E64" s="107"/>
      <c r="F64" s="105"/>
      <c r="G64" s="107"/>
      <c r="H64" s="168" t="s">
        <v>473</v>
      </c>
      <c r="I64" s="107" t="s">
        <v>8</v>
      </c>
      <c r="J64" s="107"/>
      <c r="K64" s="168" t="s">
        <v>566</v>
      </c>
      <c r="L64" s="107" t="s">
        <v>508</v>
      </c>
      <c r="M64" s="107"/>
      <c r="N64" s="105"/>
      <c r="O64" s="107"/>
      <c r="P64" s="105"/>
      <c r="Q64" s="107"/>
      <c r="R64" s="105"/>
      <c r="S64" s="107"/>
    </row>
    <row r="65" spans="1:19">
      <c r="A65" s="107" t="s">
        <v>755</v>
      </c>
      <c r="B65" s="266"/>
      <c r="C65" s="267" t="s">
        <v>428</v>
      </c>
      <c r="D65" s="105"/>
      <c r="E65" s="107"/>
      <c r="F65" s="105"/>
      <c r="G65" s="107"/>
      <c r="H65" s="168" t="s">
        <v>474</v>
      </c>
      <c r="I65" s="107" t="s">
        <v>10</v>
      </c>
      <c r="J65" s="107"/>
      <c r="K65" s="168" t="s">
        <v>567</v>
      </c>
      <c r="L65" s="107" t="s">
        <v>785</v>
      </c>
      <c r="M65" s="107"/>
      <c r="N65" s="105"/>
      <c r="O65" s="107"/>
      <c r="P65" s="105"/>
      <c r="Q65" s="107"/>
      <c r="R65" s="105"/>
      <c r="S65" s="107"/>
    </row>
    <row r="66" spans="1:19">
      <c r="A66" s="107" t="s">
        <v>821</v>
      </c>
      <c r="B66" s="266"/>
      <c r="C66" s="267" t="s">
        <v>426</v>
      </c>
      <c r="D66" s="105"/>
      <c r="E66" s="107"/>
      <c r="F66" s="105"/>
      <c r="G66" s="107"/>
      <c r="H66" s="168" t="s">
        <v>775</v>
      </c>
      <c r="I66" s="107" t="s">
        <v>8</v>
      </c>
      <c r="J66" s="107"/>
      <c r="K66" s="168" t="s">
        <v>394</v>
      </c>
      <c r="L66" s="107" t="s">
        <v>634</v>
      </c>
      <c r="M66" s="107"/>
      <c r="N66" s="105"/>
      <c r="O66" s="107"/>
      <c r="P66" s="105"/>
      <c r="Q66" s="107"/>
      <c r="R66" s="105"/>
      <c r="S66" s="107"/>
    </row>
    <row r="67" spans="1:19">
      <c r="A67" s="107" t="s">
        <v>123</v>
      </c>
      <c r="B67" s="266"/>
      <c r="C67" s="267" t="s">
        <v>429</v>
      </c>
      <c r="D67" s="105"/>
      <c r="E67" s="107"/>
      <c r="F67" s="105"/>
      <c r="G67" s="107"/>
      <c r="H67" s="168" t="s">
        <v>776</v>
      </c>
      <c r="I67" s="107" t="s">
        <v>8</v>
      </c>
      <c r="J67" s="107"/>
      <c r="K67" s="168" t="s">
        <v>568</v>
      </c>
      <c r="L67" s="107" t="s">
        <v>813</v>
      </c>
      <c r="M67" s="107"/>
      <c r="N67" s="105"/>
      <c r="O67" s="107"/>
      <c r="P67" s="105"/>
      <c r="Q67" s="107"/>
      <c r="R67" s="105"/>
      <c r="S67" s="107"/>
    </row>
    <row r="68" spans="1:19">
      <c r="A68" s="107" t="s">
        <v>150</v>
      </c>
      <c r="B68" s="266"/>
      <c r="C68" s="267" t="s">
        <v>47</v>
      </c>
      <c r="D68" s="105"/>
      <c r="E68" s="107"/>
      <c r="F68" s="105"/>
      <c r="G68" s="107"/>
      <c r="H68" s="168" t="s">
        <v>561</v>
      </c>
      <c r="I68" s="107" t="s">
        <v>8</v>
      </c>
      <c r="J68" s="107"/>
      <c r="K68" s="168" t="s">
        <v>395</v>
      </c>
      <c r="L68" s="107" t="s">
        <v>766</v>
      </c>
      <c r="M68" s="107"/>
      <c r="N68" s="105"/>
      <c r="O68" s="107"/>
      <c r="P68" s="105"/>
      <c r="Q68" s="107"/>
      <c r="R68" s="105"/>
      <c r="S68" s="107"/>
    </row>
    <row r="69" spans="1:19">
      <c r="A69" s="271" t="s">
        <v>175</v>
      </c>
      <c r="B69" s="266"/>
      <c r="C69" s="267" t="s">
        <v>48</v>
      </c>
      <c r="D69" s="105"/>
      <c r="E69" s="107"/>
      <c r="F69" s="105"/>
      <c r="G69" s="107"/>
      <c r="H69" s="168" t="s">
        <v>892</v>
      </c>
      <c r="I69" s="107" t="s">
        <v>8</v>
      </c>
      <c r="J69" s="107"/>
      <c r="K69" s="168" t="s">
        <v>867</v>
      </c>
      <c r="L69" s="107" t="s">
        <v>782</v>
      </c>
      <c r="M69" s="107"/>
      <c r="N69" s="105"/>
      <c r="O69" s="107"/>
      <c r="P69" s="105"/>
      <c r="Q69" s="107"/>
      <c r="R69" s="105"/>
      <c r="S69" s="107"/>
    </row>
    <row r="70" spans="1:19">
      <c r="A70" s="107" t="s">
        <v>184</v>
      </c>
      <c r="B70" s="266"/>
      <c r="C70" s="267" t="s">
        <v>430</v>
      </c>
      <c r="D70" s="105"/>
      <c r="E70" s="107"/>
      <c r="F70" s="105"/>
      <c r="G70" s="107"/>
      <c r="H70" s="168" t="s">
        <v>562</v>
      </c>
      <c r="I70" s="107" t="s">
        <v>8</v>
      </c>
      <c r="J70" s="107"/>
      <c r="K70" s="168" t="s">
        <v>570</v>
      </c>
      <c r="L70" s="107" t="s">
        <v>521</v>
      </c>
      <c r="M70" s="107"/>
      <c r="N70" s="105"/>
      <c r="O70" s="107"/>
      <c r="P70" s="105"/>
      <c r="Q70" s="107"/>
      <c r="R70" s="105"/>
      <c r="S70" s="107"/>
    </row>
    <row r="71" spans="1:19">
      <c r="A71" s="107" t="s">
        <v>168</v>
      </c>
      <c r="B71" s="266"/>
      <c r="C71" s="267" t="s">
        <v>431</v>
      </c>
      <c r="D71" s="105"/>
      <c r="E71" s="107"/>
      <c r="F71" s="105"/>
      <c r="G71" s="107"/>
      <c r="H71" s="168" t="s">
        <v>563</v>
      </c>
      <c r="I71" s="107" t="s">
        <v>8</v>
      </c>
      <c r="J71" s="107"/>
      <c r="K71" s="168" t="s">
        <v>571</v>
      </c>
      <c r="L71" s="107" t="s">
        <v>509</v>
      </c>
      <c r="M71" s="107"/>
      <c r="N71" s="105"/>
      <c r="O71" s="107"/>
      <c r="P71" s="105"/>
      <c r="Q71" s="107"/>
      <c r="R71" s="105"/>
      <c r="S71" s="107"/>
    </row>
    <row r="72" spans="1:19">
      <c r="A72" s="107" t="s">
        <v>807</v>
      </c>
      <c r="B72" s="266"/>
      <c r="C72" s="267" t="s">
        <v>49</v>
      </c>
      <c r="D72" s="105"/>
      <c r="E72" s="107"/>
      <c r="F72" s="105"/>
      <c r="G72" s="107"/>
      <c r="H72" s="168" t="s">
        <v>589</v>
      </c>
      <c r="I72" s="107" t="s">
        <v>8</v>
      </c>
      <c r="J72" s="107"/>
      <c r="K72" s="168" t="s">
        <v>607</v>
      </c>
      <c r="L72" s="107" t="s">
        <v>619</v>
      </c>
      <c r="M72" s="107"/>
      <c r="N72" s="105"/>
      <c r="O72" s="107"/>
      <c r="P72" s="105"/>
      <c r="Q72" s="107"/>
      <c r="R72" s="105"/>
      <c r="S72" s="107"/>
    </row>
    <row r="73" spans="1:19">
      <c r="A73" s="107" t="s">
        <v>808</v>
      </c>
      <c r="B73" s="266"/>
      <c r="C73" s="267" t="s">
        <v>50</v>
      </c>
      <c r="D73" s="105"/>
      <c r="E73" s="107"/>
      <c r="F73" s="105"/>
      <c r="G73" s="107"/>
      <c r="H73" s="168" t="s">
        <v>565</v>
      </c>
      <c r="I73" s="107" t="s">
        <v>8</v>
      </c>
      <c r="J73" s="107"/>
      <c r="K73" s="168" t="s">
        <v>585</v>
      </c>
      <c r="L73" s="107" t="s">
        <v>510</v>
      </c>
      <c r="M73" s="107"/>
      <c r="N73" s="105"/>
      <c r="O73" s="107"/>
      <c r="P73" s="105"/>
      <c r="Q73" s="107"/>
      <c r="R73" s="105"/>
      <c r="S73" s="107"/>
    </row>
    <row r="74" spans="1:19">
      <c r="A74" s="107" t="s">
        <v>853</v>
      </c>
      <c r="B74" s="266"/>
      <c r="C74" s="267" t="s">
        <v>51</v>
      </c>
      <c r="D74" s="105"/>
      <c r="E74" s="107"/>
      <c r="F74" s="105"/>
      <c r="G74" s="107"/>
      <c r="H74" s="168" t="s">
        <v>778</v>
      </c>
      <c r="I74" s="107" t="s">
        <v>8</v>
      </c>
      <c r="J74" s="107"/>
      <c r="K74" s="168" t="s">
        <v>754</v>
      </c>
      <c r="L74" s="107" t="s">
        <v>623</v>
      </c>
      <c r="M74" s="107"/>
      <c r="N74" s="105"/>
      <c r="O74" s="107"/>
      <c r="P74" s="105"/>
      <c r="Q74" s="107"/>
      <c r="R74" s="105"/>
      <c r="S74" s="107"/>
    </row>
    <row r="75" spans="1:19">
      <c r="A75" s="107" t="s">
        <v>134</v>
      </c>
      <c r="B75" s="266"/>
      <c r="C75" s="267" t="s">
        <v>52</v>
      </c>
      <c r="D75" s="105"/>
      <c r="E75" s="107"/>
      <c r="F75" s="105"/>
      <c r="G75" s="107"/>
      <c r="H75" s="168" t="s">
        <v>779</v>
      </c>
      <c r="I75" s="107" t="s">
        <v>8</v>
      </c>
      <c r="J75" s="107"/>
      <c r="K75" s="168" t="s">
        <v>541</v>
      </c>
      <c r="L75" s="107" t="s">
        <v>511</v>
      </c>
      <c r="M75" s="107"/>
      <c r="N75" s="105"/>
      <c r="O75" s="107"/>
      <c r="P75" s="105"/>
      <c r="Q75" s="107"/>
      <c r="R75" s="105"/>
      <c r="S75" s="107"/>
    </row>
    <row r="76" spans="1:19">
      <c r="A76" s="107" t="s">
        <v>136</v>
      </c>
      <c r="B76" s="266"/>
      <c r="C76" s="267" t="s">
        <v>53</v>
      </c>
      <c r="D76" s="105"/>
      <c r="E76" s="107"/>
      <c r="F76" s="105"/>
      <c r="G76" s="107"/>
      <c r="H76" s="168" t="s">
        <v>780</v>
      </c>
      <c r="I76" s="107" t="s">
        <v>8</v>
      </c>
      <c r="J76" s="107"/>
      <c r="K76" s="168" t="s">
        <v>574</v>
      </c>
      <c r="L76" s="107" t="s">
        <v>512</v>
      </c>
      <c r="M76" s="107"/>
      <c r="N76" s="105"/>
      <c r="O76" s="107"/>
      <c r="P76" s="105"/>
      <c r="Q76" s="107"/>
      <c r="R76" s="105"/>
      <c r="S76" s="107"/>
    </row>
    <row r="77" spans="1:19">
      <c r="A77" s="107" t="s">
        <v>144</v>
      </c>
      <c r="B77" s="266"/>
      <c r="C77" s="267" t="s">
        <v>432</v>
      </c>
      <c r="D77" s="105"/>
      <c r="E77" s="107"/>
      <c r="F77" s="105"/>
      <c r="G77" s="107"/>
      <c r="H77" s="168" t="s">
        <v>781</v>
      </c>
      <c r="I77" s="107" t="s">
        <v>8</v>
      </c>
      <c r="J77" s="107"/>
      <c r="K77" s="168" t="s">
        <v>572</v>
      </c>
      <c r="L77" s="107" t="s">
        <v>620</v>
      </c>
      <c r="M77" s="107"/>
      <c r="N77" s="105"/>
      <c r="O77" s="107"/>
      <c r="P77" s="105"/>
      <c r="Q77" s="107"/>
      <c r="R77" s="105"/>
      <c r="S77" s="107"/>
    </row>
    <row r="78" spans="1:19">
      <c r="A78" s="107" t="s">
        <v>903</v>
      </c>
      <c r="B78" s="266"/>
      <c r="C78" s="267" t="s">
        <v>433</v>
      </c>
      <c r="D78" s="105"/>
      <c r="E78" s="107"/>
      <c r="F78" s="105"/>
      <c r="G78" s="107"/>
      <c r="H78" s="168" t="s">
        <v>566</v>
      </c>
      <c r="I78" s="107" t="s">
        <v>8</v>
      </c>
      <c r="J78" s="107"/>
      <c r="K78" s="168" t="s">
        <v>862</v>
      </c>
      <c r="L78" s="107" t="s">
        <v>513</v>
      </c>
      <c r="M78" s="107"/>
      <c r="N78" s="105"/>
      <c r="O78" s="107"/>
      <c r="P78" s="105"/>
      <c r="Q78" s="107"/>
      <c r="R78" s="105"/>
      <c r="S78" s="107"/>
    </row>
    <row r="79" spans="1:19">
      <c r="A79" s="107" t="s">
        <v>145</v>
      </c>
      <c r="B79" s="266"/>
      <c r="C79" s="267" t="s">
        <v>434</v>
      </c>
      <c r="D79" s="105"/>
      <c r="E79" s="107"/>
      <c r="F79" s="105"/>
      <c r="G79" s="107"/>
      <c r="H79" s="168" t="s">
        <v>567</v>
      </c>
      <c r="I79" s="107" t="s">
        <v>8</v>
      </c>
      <c r="J79" s="107"/>
      <c r="K79" s="168" t="s">
        <v>573</v>
      </c>
      <c r="L79" s="107" t="s">
        <v>519</v>
      </c>
      <c r="M79" s="107"/>
      <c r="N79" s="105"/>
      <c r="O79" s="107"/>
      <c r="P79" s="105"/>
      <c r="Q79" s="107"/>
      <c r="R79" s="105"/>
      <c r="S79" s="107"/>
    </row>
    <row r="80" spans="1:19">
      <c r="A80" s="107" t="s">
        <v>874</v>
      </c>
      <c r="B80" s="266"/>
      <c r="C80" s="267" t="s">
        <v>54</v>
      </c>
      <c r="D80" s="105"/>
      <c r="E80" s="107"/>
      <c r="F80" s="105"/>
      <c r="G80" s="107"/>
      <c r="H80" s="168" t="s">
        <v>394</v>
      </c>
      <c r="I80" s="107" t="s">
        <v>8</v>
      </c>
      <c r="J80" s="107"/>
      <c r="K80" s="168" t="s">
        <v>868</v>
      </c>
      <c r="L80" s="107" t="s">
        <v>763</v>
      </c>
      <c r="M80" s="107"/>
      <c r="N80" s="105"/>
      <c r="O80" s="107"/>
      <c r="P80" s="105"/>
      <c r="Q80" s="107"/>
      <c r="R80" s="105"/>
      <c r="S80" s="107"/>
    </row>
    <row r="81" spans="1:19">
      <c r="A81" s="107" t="s">
        <v>794</v>
      </c>
      <c r="B81" s="266"/>
      <c r="C81" s="267" t="s">
        <v>435</v>
      </c>
      <c r="D81" s="105"/>
      <c r="E81" s="107"/>
      <c r="F81" s="105"/>
      <c r="G81" s="107"/>
      <c r="H81" s="168" t="s">
        <v>568</v>
      </c>
      <c r="I81" s="107" t="s">
        <v>8</v>
      </c>
      <c r="J81" s="107"/>
      <c r="K81" s="168" t="s">
        <v>575</v>
      </c>
      <c r="L81" s="107" t="s">
        <v>631</v>
      </c>
      <c r="M81" s="107"/>
      <c r="N81" s="105"/>
      <c r="O81" s="107"/>
      <c r="P81" s="105"/>
      <c r="Q81" s="107"/>
      <c r="R81" s="105"/>
      <c r="S81" s="107"/>
    </row>
    <row r="82" spans="1:19">
      <c r="A82" s="107" t="s">
        <v>124</v>
      </c>
      <c r="B82" s="266"/>
      <c r="C82" s="267" t="s">
        <v>55</v>
      </c>
      <c r="D82" s="105"/>
      <c r="E82" s="107"/>
      <c r="F82" s="105"/>
      <c r="G82" s="107"/>
      <c r="H82" s="168" t="s">
        <v>395</v>
      </c>
      <c r="I82" s="107" t="s">
        <v>8</v>
      </c>
      <c r="J82" s="107"/>
      <c r="K82" s="168" t="s">
        <v>835</v>
      </c>
      <c r="L82" s="107" t="s">
        <v>922</v>
      </c>
      <c r="M82" s="107"/>
      <c r="N82" s="105"/>
      <c r="O82" s="107"/>
      <c r="P82" s="105"/>
      <c r="Q82" s="107"/>
      <c r="R82" s="105"/>
      <c r="S82" s="107"/>
    </row>
    <row r="83" spans="1:19">
      <c r="A83" s="107" t="s">
        <v>129</v>
      </c>
      <c r="B83" s="266"/>
      <c r="C83" s="267" t="s">
        <v>56</v>
      </c>
      <c r="D83" s="105"/>
      <c r="E83" s="107"/>
      <c r="F83" s="105"/>
      <c r="G83" s="107"/>
      <c r="H83" s="168" t="s">
        <v>867</v>
      </c>
      <c r="I83" s="107" t="s">
        <v>8</v>
      </c>
      <c r="J83" s="107"/>
      <c r="K83" s="168" t="s">
        <v>833</v>
      </c>
      <c r="L83" s="107" t="s">
        <v>635</v>
      </c>
      <c r="M83" s="107"/>
      <c r="N83" s="105"/>
      <c r="O83" s="107"/>
      <c r="P83" s="105"/>
      <c r="Q83" s="107"/>
      <c r="R83" s="105"/>
      <c r="S83" s="107"/>
    </row>
    <row r="84" spans="1:19">
      <c r="A84" s="107" t="s">
        <v>886</v>
      </c>
      <c r="B84" s="266"/>
      <c r="C84" s="267" t="s">
        <v>57</v>
      </c>
      <c r="D84" s="105"/>
      <c r="E84" s="107"/>
      <c r="F84" s="105"/>
      <c r="G84" s="107"/>
      <c r="H84" s="168" t="s">
        <v>570</v>
      </c>
      <c r="I84" s="107" t="s">
        <v>8</v>
      </c>
      <c r="J84" s="107"/>
      <c r="K84" s="168" t="s">
        <v>636</v>
      </c>
      <c r="L84" s="107" t="s">
        <v>520</v>
      </c>
      <c r="M84" s="107"/>
      <c r="N84" s="105"/>
      <c r="O84" s="107"/>
      <c r="P84" s="105"/>
      <c r="Q84" s="107"/>
      <c r="R84" s="105"/>
      <c r="S84" s="107"/>
    </row>
    <row r="85" spans="1:19">
      <c r="A85" s="107" t="s">
        <v>916</v>
      </c>
      <c r="B85" s="266"/>
      <c r="C85" s="267" t="s">
        <v>830</v>
      </c>
      <c r="D85" s="105"/>
      <c r="E85" s="107"/>
      <c r="F85" s="105"/>
      <c r="G85" s="107"/>
      <c r="H85" s="168" t="s">
        <v>571</v>
      </c>
      <c r="I85" s="107" t="s">
        <v>8</v>
      </c>
      <c r="J85" s="107"/>
      <c r="K85" s="168" t="s">
        <v>600</v>
      </c>
      <c r="L85" s="107" t="s">
        <v>88</v>
      </c>
      <c r="M85" s="107"/>
      <c r="N85" s="105"/>
      <c r="O85" s="107"/>
      <c r="P85" s="105"/>
      <c r="Q85" s="107"/>
      <c r="R85" s="105"/>
      <c r="S85" s="107"/>
    </row>
    <row r="86" spans="1:19">
      <c r="A86" s="107" t="s">
        <v>857</v>
      </c>
      <c r="B86" s="266"/>
      <c r="C86" s="267" t="s">
        <v>58</v>
      </c>
      <c r="D86" s="105"/>
      <c r="E86" s="107"/>
      <c r="F86" s="105"/>
      <c r="G86" s="107"/>
      <c r="H86" s="168" t="s">
        <v>607</v>
      </c>
      <c r="I86" s="107" t="s">
        <v>8</v>
      </c>
      <c r="J86" s="107"/>
      <c r="K86" s="168" t="s">
        <v>602</v>
      </c>
      <c r="L86" s="107" t="s">
        <v>514</v>
      </c>
      <c r="M86" s="107"/>
      <c r="N86" s="105"/>
      <c r="O86" s="107"/>
      <c r="P86" s="105"/>
      <c r="Q86" s="107"/>
      <c r="R86" s="105"/>
      <c r="S86" s="107"/>
    </row>
    <row r="87" spans="1:19">
      <c r="A87" s="107" t="s">
        <v>158</v>
      </c>
      <c r="B87" s="266"/>
      <c r="C87" s="267" t="s">
        <v>436</v>
      </c>
      <c r="D87" s="105"/>
      <c r="E87" s="107"/>
      <c r="F87" s="105"/>
      <c r="G87" s="107"/>
      <c r="H87" s="168" t="s">
        <v>585</v>
      </c>
      <c r="I87" s="107" t="s">
        <v>8</v>
      </c>
      <c r="J87" s="107"/>
      <c r="K87" s="168" t="s">
        <v>593</v>
      </c>
      <c r="L87" s="107" t="s">
        <v>923</v>
      </c>
      <c r="M87" s="107"/>
      <c r="N87" s="105"/>
      <c r="O87" s="107"/>
      <c r="P87" s="105"/>
      <c r="Q87" s="107"/>
      <c r="R87" s="105"/>
      <c r="S87" s="107"/>
    </row>
    <row r="88" spans="1:19">
      <c r="A88" s="107" t="s">
        <v>912</v>
      </c>
      <c r="B88" s="266"/>
      <c r="C88" s="267" t="s">
        <v>437</v>
      </c>
      <c r="D88" s="105"/>
      <c r="E88" s="107"/>
      <c r="F88" s="105"/>
      <c r="G88" s="107"/>
      <c r="H88" s="168" t="s">
        <v>754</v>
      </c>
      <c r="I88" s="107" t="s">
        <v>8</v>
      </c>
      <c r="J88" s="107"/>
      <c r="K88" s="168" t="s">
        <v>637</v>
      </c>
      <c r="L88" s="107" t="s">
        <v>515</v>
      </c>
      <c r="M88" s="107"/>
      <c r="N88" s="105"/>
      <c r="O88" s="107"/>
      <c r="P88" s="105"/>
      <c r="Q88" s="107"/>
      <c r="R88" s="105"/>
      <c r="S88" s="107"/>
    </row>
    <row r="89" spans="1:19">
      <c r="A89" s="107" t="s">
        <v>117</v>
      </c>
      <c r="B89" s="266"/>
      <c r="C89" s="267" t="s">
        <v>438</v>
      </c>
      <c r="D89" s="105"/>
      <c r="E89" s="107"/>
      <c r="F89" s="105"/>
      <c r="G89" s="107"/>
      <c r="H89" s="168" t="s">
        <v>541</v>
      </c>
      <c r="I89" s="107" t="s">
        <v>8</v>
      </c>
      <c r="J89" s="107"/>
      <c r="K89" s="168" t="s">
        <v>639</v>
      </c>
      <c r="L89" s="107" t="s">
        <v>863</v>
      </c>
      <c r="M89" s="107"/>
      <c r="N89" s="105"/>
      <c r="O89" s="107"/>
      <c r="P89" s="105"/>
      <c r="Q89" s="107"/>
      <c r="R89" s="105"/>
      <c r="S89" s="107"/>
    </row>
    <row r="90" spans="1:19">
      <c r="A90" s="107" t="s">
        <v>165</v>
      </c>
      <c r="B90" s="266"/>
      <c r="C90" s="267" t="s">
        <v>59</v>
      </c>
      <c r="D90" s="105"/>
      <c r="E90" s="107"/>
      <c r="F90" s="105"/>
      <c r="G90" s="107"/>
      <c r="H90" s="168" t="s">
        <v>475</v>
      </c>
      <c r="I90" s="107" t="s">
        <v>10</v>
      </c>
      <c r="J90" s="107"/>
      <c r="K90" s="168" t="s">
        <v>638</v>
      </c>
      <c r="L90" s="107" t="s">
        <v>789</v>
      </c>
      <c r="M90" s="107"/>
      <c r="N90" s="105"/>
      <c r="O90" s="107"/>
      <c r="P90" s="105"/>
      <c r="Q90" s="107"/>
      <c r="R90" s="105"/>
      <c r="S90" s="107"/>
    </row>
    <row r="91" spans="1:19">
      <c r="A91" s="107" t="s">
        <v>137</v>
      </c>
      <c r="B91" s="266"/>
      <c r="C91" s="267" t="s">
        <v>439</v>
      </c>
      <c r="D91" s="105"/>
      <c r="E91" s="107"/>
      <c r="F91" s="105"/>
      <c r="G91" s="107"/>
      <c r="H91" s="168" t="s">
        <v>574</v>
      </c>
      <c r="I91" s="107" t="s">
        <v>8</v>
      </c>
      <c r="J91" s="107"/>
      <c r="K91" s="168" t="s">
        <v>576</v>
      </c>
      <c r="L91" s="107" t="s">
        <v>90</v>
      </c>
      <c r="M91" s="107"/>
      <c r="N91" s="105"/>
      <c r="O91" s="107"/>
      <c r="P91" s="105"/>
      <c r="Q91" s="107"/>
      <c r="R91" s="105"/>
      <c r="S91" s="107"/>
    </row>
    <row r="92" spans="1:19">
      <c r="A92" s="270" t="s">
        <v>148</v>
      </c>
      <c r="B92" s="266"/>
      <c r="C92" s="267" t="s">
        <v>440</v>
      </c>
      <c r="D92" s="105"/>
      <c r="E92" s="107"/>
      <c r="F92" s="105"/>
      <c r="G92" s="107"/>
      <c r="H92" s="168" t="s">
        <v>572</v>
      </c>
      <c r="I92" s="107" t="s">
        <v>8</v>
      </c>
      <c r="J92" s="107"/>
      <c r="K92" s="168" t="s">
        <v>577</v>
      </c>
      <c r="L92" s="107" t="s">
        <v>91</v>
      </c>
      <c r="M92" s="107"/>
      <c r="N92" s="105"/>
      <c r="O92" s="107"/>
      <c r="P92" s="105"/>
      <c r="Q92" s="107"/>
      <c r="R92" s="105"/>
      <c r="S92" s="107"/>
    </row>
    <row r="93" spans="1:19">
      <c r="A93" s="107" t="s">
        <v>140</v>
      </c>
      <c r="B93" s="266"/>
      <c r="C93" s="267" t="s">
        <v>441</v>
      </c>
      <c r="D93" s="105"/>
      <c r="E93" s="107"/>
      <c r="F93" s="105"/>
      <c r="G93" s="107"/>
      <c r="H93" s="168" t="s">
        <v>862</v>
      </c>
      <c r="I93" s="107" t="s">
        <v>8</v>
      </c>
      <c r="J93" s="107"/>
      <c r="K93" s="168" t="s">
        <v>539</v>
      </c>
      <c r="L93" s="107" t="s">
        <v>767</v>
      </c>
      <c r="M93" s="107"/>
      <c r="N93" s="105"/>
      <c r="O93" s="107"/>
      <c r="P93" s="105"/>
      <c r="Q93" s="107"/>
      <c r="R93" s="105"/>
      <c r="S93" s="107"/>
    </row>
    <row r="94" spans="1:19">
      <c r="A94" s="107" t="s">
        <v>121</v>
      </c>
      <c r="B94" s="266"/>
      <c r="C94" s="267" t="s">
        <v>442</v>
      </c>
      <c r="D94" s="105"/>
      <c r="E94" s="107"/>
      <c r="F94" s="105"/>
      <c r="G94" s="107"/>
      <c r="H94" s="168" t="s">
        <v>573</v>
      </c>
      <c r="I94" s="107" t="s">
        <v>8</v>
      </c>
      <c r="J94" s="107"/>
      <c r="K94" s="168" t="s">
        <v>538</v>
      </c>
      <c r="L94" s="107" t="s">
        <v>621</v>
      </c>
      <c r="M94" s="107"/>
      <c r="N94" s="105"/>
      <c r="O94" s="107"/>
      <c r="P94" s="105"/>
      <c r="Q94" s="107"/>
      <c r="R94" s="105"/>
      <c r="S94" s="107"/>
    </row>
    <row r="95" spans="1:19">
      <c r="A95" s="107" t="s">
        <v>164</v>
      </c>
      <c r="B95" s="266"/>
      <c r="C95" s="267" t="s">
        <v>60</v>
      </c>
      <c r="D95" s="105"/>
      <c r="E95" s="107"/>
      <c r="F95" s="105"/>
      <c r="G95" s="107"/>
      <c r="H95" s="168" t="s">
        <v>868</v>
      </c>
      <c r="I95" s="107" t="s">
        <v>8</v>
      </c>
      <c r="J95" s="107"/>
      <c r="K95" s="168" t="s">
        <v>537</v>
      </c>
      <c r="L95" s="107" t="s">
        <v>622</v>
      </c>
      <c r="M95" s="107"/>
      <c r="N95" s="105"/>
      <c r="O95" s="107"/>
      <c r="P95" s="105"/>
      <c r="Q95" s="107"/>
      <c r="R95" s="105"/>
      <c r="S95" s="107"/>
    </row>
    <row r="96" spans="1:19">
      <c r="A96" s="102" t="s">
        <v>711</v>
      </c>
      <c r="B96" s="266"/>
      <c r="C96" s="267" t="s">
        <v>443</v>
      </c>
      <c r="D96" s="105"/>
      <c r="E96" s="107"/>
      <c r="F96" s="105"/>
      <c r="G96" s="107"/>
      <c r="H96" s="168" t="s">
        <v>902</v>
      </c>
      <c r="I96" s="107" t="s">
        <v>8</v>
      </c>
      <c r="J96" s="107"/>
      <c r="K96" s="168" t="s">
        <v>753</v>
      </c>
      <c r="L96" s="107"/>
      <c r="M96" s="107"/>
      <c r="N96" s="105"/>
      <c r="O96" s="107"/>
      <c r="P96" s="105"/>
      <c r="Q96" s="107"/>
      <c r="R96" s="105"/>
      <c r="S96" s="107"/>
    </row>
    <row r="97" spans="1:19">
      <c r="A97" s="102" t="s">
        <v>700</v>
      </c>
      <c r="B97" s="266"/>
      <c r="C97" s="267" t="s">
        <v>61</v>
      </c>
      <c r="D97" s="105"/>
      <c r="E97" s="107"/>
      <c r="F97" s="105"/>
      <c r="G97" s="107"/>
      <c r="H97" s="168" t="s">
        <v>575</v>
      </c>
      <c r="I97" s="107" t="s">
        <v>7</v>
      </c>
      <c r="J97" s="107"/>
      <c r="K97" s="168" t="s">
        <v>531</v>
      </c>
      <c r="L97" s="107"/>
      <c r="M97" s="107"/>
      <c r="N97" s="105"/>
      <c r="O97" s="107"/>
      <c r="P97" s="105"/>
      <c r="Q97" s="107"/>
      <c r="R97" s="105"/>
      <c r="S97" s="107"/>
    </row>
    <row r="98" spans="1:19">
      <c r="A98" s="107" t="s">
        <v>104</v>
      </c>
      <c r="B98" s="266"/>
      <c r="C98" s="267" t="s">
        <v>444</v>
      </c>
      <c r="D98" s="105"/>
      <c r="E98" s="107"/>
      <c r="F98" s="105"/>
      <c r="G98" s="107"/>
      <c r="H98" s="168" t="s">
        <v>835</v>
      </c>
      <c r="I98" s="107" t="s">
        <v>7</v>
      </c>
      <c r="J98" s="107"/>
      <c r="K98" s="168" t="s">
        <v>606</v>
      </c>
      <c r="L98" s="107"/>
      <c r="M98" s="107"/>
      <c r="N98" s="105"/>
      <c r="O98" s="107"/>
      <c r="P98" s="105"/>
      <c r="Q98" s="107"/>
      <c r="R98" s="105"/>
      <c r="S98" s="107"/>
    </row>
    <row r="99" spans="1:19">
      <c r="A99" s="107" t="s">
        <v>126</v>
      </c>
      <c r="B99" s="266"/>
      <c r="C99" s="267" t="s">
        <v>445</v>
      </c>
      <c r="D99" s="105"/>
      <c r="E99" s="107"/>
      <c r="F99" s="105"/>
      <c r="G99" s="107"/>
      <c r="H99" s="168" t="s">
        <v>833</v>
      </c>
      <c r="I99" s="107" t="s">
        <v>8</v>
      </c>
      <c r="J99" s="107"/>
      <c r="K99" s="168" t="s">
        <v>751</v>
      </c>
      <c r="L99" s="107"/>
      <c r="M99" s="107"/>
      <c r="N99" s="105"/>
      <c r="O99" s="107"/>
      <c r="P99" s="105"/>
      <c r="Q99" s="107"/>
      <c r="R99" s="105"/>
      <c r="S99" s="107"/>
    </row>
    <row r="100" spans="1:19">
      <c r="A100" s="107" t="s">
        <v>131</v>
      </c>
      <c r="B100" s="266"/>
      <c r="C100" s="267" t="s">
        <v>62</v>
      </c>
      <c r="D100" s="105"/>
      <c r="E100" s="107"/>
      <c r="F100" s="105"/>
      <c r="G100" s="107"/>
      <c r="H100" s="168" t="s">
        <v>636</v>
      </c>
      <c r="I100" s="107" t="s">
        <v>8</v>
      </c>
      <c r="J100" s="107"/>
      <c r="K100" s="168" t="s">
        <v>816</v>
      </c>
      <c r="L100" s="107"/>
      <c r="M100" s="107"/>
      <c r="N100" s="105"/>
      <c r="O100" s="107"/>
      <c r="P100" s="105"/>
      <c r="Q100" s="107"/>
      <c r="R100" s="105"/>
      <c r="S100" s="107"/>
    </row>
    <row r="101" spans="1:19">
      <c r="A101" s="107" t="s">
        <v>788</v>
      </c>
      <c r="B101" s="266"/>
      <c r="C101" s="267" t="s">
        <v>446</v>
      </c>
      <c r="D101" s="105"/>
      <c r="E101" s="107"/>
      <c r="F101" s="105"/>
      <c r="G101" s="107"/>
      <c r="H101" s="168" t="s">
        <v>600</v>
      </c>
      <c r="I101" s="107" t="s">
        <v>8</v>
      </c>
      <c r="J101" s="107"/>
      <c r="K101" s="168" t="s">
        <v>752</v>
      </c>
      <c r="L101" s="107"/>
      <c r="M101" s="107"/>
      <c r="N101" s="105"/>
      <c r="O101" s="107"/>
      <c r="P101" s="105"/>
      <c r="Q101" s="107"/>
      <c r="R101" s="105"/>
      <c r="S101" s="107"/>
    </row>
    <row r="102" spans="1:19">
      <c r="A102" s="107" t="s">
        <v>787</v>
      </c>
      <c r="B102" s="266"/>
      <c r="C102" s="267" t="s">
        <v>63</v>
      </c>
      <c r="D102" s="105"/>
      <c r="E102" s="107"/>
      <c r="F102" s="105"/>
      <c r="G102" s="107"/>
      <c r="H102" s="168" t="s">
        <v>602</v>
      </c>
      <c r="I102" s="107" t="s">
        <v>7</v>
      </c>
      <c r="J102" s="107"/>
      <c r="K102" s="168"/>
      <c r="L102" s="107"/>
      <c r="M102" s="107"/>
      <c r="N102" s="105"/>
      <c r="O102" s="107"/>
      <c r="P102" s="105"/>
      <c r="Q102" s="107"/>
      <c r="R102" s="105"/>
      <c r="S102" s="107"/>
    </row>
    <row r="103" spans="1:19">
      <c r="A103" s="107" t="s">
        <v>918</v>
      </c>
      <c r="B103" s="266"/>
      <c r="C103" s="267" t="s">
        <v>447</v>
      </c>
      <c r="D103" s="105"/>
      <c r="E103" s="107"/>
      <c r="F103" s="105"/>
      <c r="G103" s="107"/>
      <c r="H103" s="168" t="s">
        <v>593</v>
      </c>
      <c r="I103" s="107" t="s">
        <v>7</v>
      </c>
      <c r="J103" s="107"/>
      <c r="K103" s="168"/>
      <c r="L103" s="107"/>
      <c r="M103" s="107"/>
      <c r="N103" s="105"/>
      <c r="O103" s="107"/>
      <c r="P103" s="105"/>
      <c r="Q103" s="107"/>
      <c r="R103" s="105"/>
      <c r="S103" s="107"/>
    </row>
    <row r="104" spans="1:19">
      <c r="A104" s="107" t="s">
        <v>860</v>
      </c>
      <c r="B104" s="266"/>
      <c r="C104" s="267" t="s">
        <v>64</v>
      </c>
      <c r="D104" s="105"/>
      <c r="E104" s="107"/>
      <c r="F104" s="105"/>
      <c r="G104" s="107"/>
      <c r="H104" s="168" t="s">
        <v>637</v>
      </c>
      <c r="I104" s="107" t="s">
        <v>5</v>
      </c>
      <c r="J104" s="107"/>
      <c r="K104" s="168"/>
      <c r="L104" s="107"/>
      <c r="M104" s="107"/>
      <c r="N104" s="105"/>
      <c r="O104" s="107"/>
      <c r="P104" s="105"/>
      <c r="Q104" s="107"/>
      <c r="R104" s="105"/>
      <c r="S104" s="107"/>
    </row>
    <row r="105" spans="1:19">
      <c r="A105" s="102" t="s">
        <v>712</v>
      </c>
      <c r="B105" s="266"/>
      <c r="C105" s="267" t="s">
        <v>65</v>
      </c>
      <c r="D105" s="105"/>
      <c r="E105" s="107"/>
      <c r="F105" s="105"/>
      <c r="G105" s="107"/>
      <c r="H105" s="168" t="s">
        <v>639</v>
      </c>
      <c r="I105" s="107" t="s">
        <v>5</v>
      </c>
      <c r="J105" s="107"/>
      <c r="K105" s="168"/>
      <c r="L105" s="107"/>
      <c r="M105" s="107"/>
      <c r="N105" s="105"/>
      <c r="O105" s="107"/>
      <c r="P105" s="105"/>
      <c r="Q105" s="107"/>
      <c r="R105" s="105"/>
      <c r="S105" s="107"/>
    </row>
    <row r="106" spans="1:19">
      <c r="A106" s="102" t="s">
        <v>804</v>
      </c>
      <c r="B106" s="266"/>
      <c r="C106" s="267" t="s">
        <v>66</v>
      </c>
      <c r="D106" s="105"/>
      <c r="E106" s="107"/>
      <c r="F106" s="105"/>
      <c r="G106" s="107"/>
      <c r="H106" s="168" t="s">
        <v>638</v>
      </c>
      <c r="I106" s="107" t="s">
        <v>5</v>
      </c>
      <c r="J106" s="107"/>
      <c r="K106" s="168"/>
      <c r="L106" s="107"/>
      <c r="M106" s="107"/>
      <c r="N106" s="105"/>
      <c r="O106" s="107"/>
      <c r="P106" s="105"/>
      <c r="Q106" s="107"/>
      <c r="R106" s="105"/>
      <c r="S106" s="107"/>
    </row>
    <row r="107" spans="1:19">
      <c r="A107" s="107" t="s">
        <v>109</v>
      </c>
      <c r="B107" s="266"/>
      <c r="C107" s="267" t="s">
        <v>67</v>
      </c>
      <c r="D107" s="105"/>
      <c r="E107" s="107"/>
      <c r="F107" s="105"/>
      <c r="G107" s="107"/>
      <c r="H107" s="168" t="s">
        <v>576</v>
      </c>
      <c r="I107" s="107" t="s">
        <v>10</v>
      </c>
      <c r="J107" s="107"/>
      <c r="K107" s="168"/>
      <c r="L107" s="107"/>
      <c r="M107" s="107"/>
      <c r="N107" s="105"/>
      <c r="O107" s="107"/>
      <c r="P107" s="105"/>
      <c r="Q107" s="107"/>
      <c r="R107" s="105"/>
      <c r="S107" s="107"/>
    </row>
    <row r="108" spans="1:19">
      <c r="A108" s="107" t="s">
        <v>159</v>
      </c>
      <c r="B108" s="266"/>
      <c r="C108" s="267" t="s">
        <v>68</v>
      </c>
      <c r="D108" s="105"/>
      <c r="E108" s="107"/>
      <c r="F108" s="105"/>
      <c r="G108" s="107"/>
      <c r="H108" s="168" t="s">
        <v>577</v>
      </c>
      <c r="I108" s="107" t="s">
        <v>8</v>
      </c>
      <c r="J108" s="107"/>
      <c r="K108" s="168"/>
      <c r="L108" s="107"/>
      <c r="M108" s="107"/>
      <c r="N108" s="105"/>
      <c r="O108" s="107"/>
      <c r="P108" s="105"/>
      <c r="Q108" s="107"/>
      <c r="R108" s="105"/>
      <c r="S108" s="107"/>
    </row>
    <row r="109" spans="1:19">
      <c r="A109" s="107" t="s">
        <v>166</v>
      </c>
      <c r="B109" s="266"/>
      <c r="C109" s="267" t="s">
        <v>448</v>
      </c>
      <c r="D109" s="105"/>
      <c r="E109" s="107"/>
      <c r="F109" s="105"/>
      <c r="G109" s="107"/>
      <c r="H109" s="168" t="s">
        <v>540</v>
      </c>
      <c r="I109" s="107" t="s">
        <v>6</v>
      </c>
      <c r="J109" s="107"/>
      <c r="K109" s="168"/>
      <c r="L109" s="107"/>
      <c r="M109" s="107"/>
      <c r="N109" s="105"/>
      <c r="O109" s="107"/>
      <c r="P109" s="105"/>
      <c r="Q109" s="107"/>
      <c r="R109" s="105"/>
      <c r="S109" s="107"/>
    </row>
    <row r="110" spans="1:19">
      <c r="A110" s="107" t="s">
        <v>142</v>
      </c>
      <c r="B110" s="266"/>
      <c r="C110" s="267" t="s">
        <v>449</v>
      </c>
      <c r="D110" s="105"/>
      <c r="E110" s="107"/>
      <c r="F110" s="105"/>
      <c r="G110" s="107"/>
      <c r="H110" s="168" t="s">
        <v>539</v>
      </c>
      <c r="I110" s="107" t="s">
        <v>8</v>
      </c>
      <c r="J110" s="107"/>
      <c r="K110" s="168"/>
      <c r="L110" s="107"/>
      <c r="M110" s="107"/>
      <c r="N110" s="105"/>
      <c r="O110" s="107"/>
      <c r="P110" s="105"/>
      <c r="Q110" s="107"/>
      <c r="R110" s="105"/>
      <c r="S110" s="107"/>
    </row>
    <row r="111" spans="1:19">
      <c r="A111" s="107" t="s">
        <v>185</v>
      </c>
      <c r="B111" s="266"/>
      <c r="C111" s="267" t="s">
        <v>69</v>
      </c>
      <c r="D111" s="105"/>
      <c r="E111" s="107"/>
      <c r="F111" s="105"/>
      <c r="G111" s="107"/>
      <c r="H111" s="168" t="s">
        <v>538</v>
      </c>
      <c r="I111" s="107" t="s">
        <v>8</v>
      </c>
      <c r="J111" s="107"/>
      <c r="K111" s="168"/>
      <c r="L111" s="107"/>
      <c r="M111" s="107"/>
      <c r="N111" s="105"/>
      <c r="O111" s="107"/>
      <c r="P111" s="105"/>
      <c r="Q111" s="107"/>
      <c r="R111" s="105"/>
      <c r="S111" s="107"/>
    </row>
    <row r="112" spans="1:19">
      <c r="A112" s="107" t="s">
        <v>854</v>
      </c>
      <c r="B112" s="266"/>
      <c r="C112" s="267" t="s">
        <v>70</v>
      </c>
      <c r="D112" s="105"/>
      <c r="E112" s="107"/>
      <c r="F112" s="105"/>
      <c r="G112" s="107"/>
      <c r="H112" s="168" t="s">
        <v>477</v>
      </c>
      <c r="I112" s="107" t="s">
        <v>8</v>
      </c>
      <c r="J112" s="107"/>
      <c r="K112" s="168"/>
      <c r="L112" s="107"/>
      <c r="M112" s="107"/>
      <c r="N112" s="105"/>
      <c r="O112" s="107"/>
      <c r="P112" s="105"/>
      <c r="Q112" s="107"/>
      <c r="R112" s="105"/>
      <c r="S112" s="107"/>
    </row>
    <row r="113" spans="1:19">
      <c r="A113" s="107" t="s">
        <v>797</v>
      </c>
      <c r="B113" s="266"/>
      <c r="C113" s="267" t="s">
        <v>71</v>
      </c>
      <c r="D113" s="105"/>
      <c r="E113" s="107"/>
      <c r="F113" s="105"/>
      <c r="G113" s="107"/>
      <c r="H113" s="168" t="s">
        <v>537</v>
      </c>
      <c r="I113" s="107" t="s">
        <v>8</v>
      </c>
      <c r="J113" s="107"/>
      <c r="K113" s="168"/>
      <c r="L113" s="107"/>
      <c r="M113" s="107"/>
      <c r="N113" s="105"/>
      <c r="O113" s="107"/>
      <c r="P113" s="105"/>
      <c r="Q113" s="107"/>
      <c r="R113" s="105"/>
      <c r="S113" s="107"/>
    </row>
    <row r="114" spans="1:19">
      <c r="A114" s="107" t="s">
        <v>795</v>
      </c>
      <c r="B114" s="266"/>
      <c r="C114" s="267" t="s">
        <v>450</v>
      </c>
      <c r="D114" s="105"/>
      <c r="E114" s="107"/>
      <c r="F114" s="105"/>
      <c r="G114" s="107"/>
      <c r="H114" s="168" t="s">
        <v>753</v>
      </c>
      <c r="I114" s="107" t="s">
        <v>8</v>
      </c>
      <c r="J114" s="107"/>
      <c r="K114" s="168"/>
      <c r="L114" s="107"/>
      <c r="M114" s="107"/>
      <c r="N114" s="105"/>
      <c r="O114" s="107"/>
      <c r="P114" s="105"/>
      <c r="Q114" s="107"/>
      <c r="R114" s="105"/>
      <c r="S114" s="107"/>
    </row>
    <row r="115" spans="1:19">
      <c r="A115" s="107" t="s">
        <v>796</v>
      </c>
      <c r="B115" s="266"/>
      <c r="C115" s="267" t="s">
        <v>72</v>
      </c>
      <c r="D115" s="105"/>
      <c r="E115" s="107"/>
      <c r="F115" s="105"/>
      <c r="G115" s="107"/>
      <c r="H115" s="168" t="s">
        <v>478</v>
      </c>
      <c r="I115" s="107" t="s">
        <v>6</v>
      </c>
      <c r="J115" s="107"/>
      <c r="K115" s="168"/>
      <c r="L115" s="107"/>
      <c r="M115" s="107"/>
      <c r="N115" s="105"/>
      <c r="O115" s="107"/>
      <c r="P115" s="105"/>
      <c r="Q115" s="107"/>
      <c r="R115" s="105"/>
      <c r="S115" s="107"/>
    </row>
    <row r="116" spans="1:19">
      <c r="A116" s="57" t="s">
        <v>713</v>
      </c>
      <c r="B116" s="108"/>
      <c r="C116" s="107"/>
      <c r="D116" s="105"/>
      <c r="E116" s="107"/>
      <c r="F116" s="105"/>
      <c r="G116" s="107"/>
      <c r="H116" s="168" t="s">
        <v>531</v>
      </c>
      <c r="I116" s="107" t="s">
        <v>8</v>
      </c>
      <c r="J116" s="107"/>
      <c r="K116" s="168"/>
      <c r="L116" s="107"/>
      <c r="M116" s="107"/>
      <c r="N116" s="105"/>
      <c r="O116" s="107"/>
      <c r="P116" s="105"/>
      <c r="Q116" s="107"/>
      <c r="R116" s="105"/>
      <c r="S116" s="107"/>
    </row>
    <row r="117" spans="1:19">
      <c r="A117" s="107" t="s">
        <v>161</v>
      </c>
      <c r="B117" s="105"/>
      <c r="C117" s="107"/>
      <c r="D117" s="105"/>
      <c r="E117" s="107"/>
      <c r="F117" s="105"/>
      <c r="G117" s="107"/>
      <c r="H117" s="168" t="s">
        <v>606</v>
      </c>
      <c r="I117" s="107" t="s">
        <v>8</v>
      </c>
      <c r="J117" s="107"/>
      <c r="K117" s="168"/>
      <c r="L117" s="107"/>
      <c r="M117" s="107"/>
      <c r="N117" s="105"/>
      <c r="O117" s="107"/>
      <c r="P117" s="105"/>
      <c r="Q117" s="107"/>
      <c r="R117" s="105"/>
      <c r="S117" s="107"/>
    </row>
    <row r="118" spans="1:19">
      <c r="A118" s="107" t="s">
        <v>167</v>
      </c>
      <c r="B118" s="105"/>
      <c r="C118" s="107"/>
      <c r="D118" s="105"/>
      <c r="E118" s="107"/>
      <c r="F118" s="105"/>
      <c r="G118" s="107"/>
      <c r="H118" s="168" t="s">
        <v>479</v>
      </c>
      <c r="I118" s="107" t="s">
        <v>8</v>
      </c>
      <c r="J118" s="107"/>
      <c r="K118" s="168"/>
      <c r="L118" s="107"/>
      <c r="M118" s="107"/>
      <c r="N118" s="105"/>
      <c r="O118" s="107"/>
      <c r="P118" s="105"/>
      <c r="Q118" s="107"/>
      <c r="R118" s="105"/>
      <c r="S118" s="107"/>
    </row>
    <row r="119" spans="1:19">
      <c r="A119" s="57" t="s">
        <v>741</v>
      </c>
      <c r="B119" s="105"/>
      <c r="C119" s="107"/>
      <c r="D119" s="105"/>
      <c r="E119" s="107"/>
      <c r="F119" s="105"/>
      <c r="G119" s="107"/>
      <c r="H119" s="168" t="s">
        <v>480</v>
      </c>
      <c r="I119" s="107" t="s">
        <v>10</v>
      </c>
      <c r="J119" s="107"/>
      <c r="K119" s="168"/>
      <c r="L119" s="107"/>
      <c r="M119" s="107"/>
      <c r="N119" s="105"/>
      <c r="O119" s="107"/>
      <c r="P119" s="105"/>
      <c r="Q119" s="107"/>
      <c r="R119" s="105"/>
      <c r="S119" s="107"/>
    </row>
    <row r="120" spans="1:19">
      <c r="A120" s="102" t="s">
        <v>701</v>
      </c>
      <c r="B120" s="105"/>
      <c r="C120" s="107"/>
      <c r="D120" s="105"/>
      <c r="E120" s="107"/>
      <c r="F120" s="105"/>
      <c r="G120" s="107"/>
      <c r="H120" s="168" t="s">
        <v>751</v>
      </c>
      <c r="I120" s="107" t="s">
        <v>5</v>
      </c>
      <c r="J120" s="107"/>
      <c r="K120" s="168"/>
      <c r="L120" s="107"/>
      <c r="M120" s="107"/>
      <c r="N120" s="105"/>
      <c r="O120" s="107"/>
      <c r="P120" s="105"/>
      <c r="Q120" s="107"/>
      <c r="R120" s="105"/>
      <c r="S120" s="107"/>
    </row>
    <row r="121" spans="1:19">
      <c r="A121" s="107" t="s">
        <v>108</v>
      </c>
      <c r="B121" s="105"/>
      <c r="C121" s="107"/>
      <c r="D121" s="105"/>
      <c r="E121" s="107"/>
      <c r="F121" s="105"/>
      <c r="G121" s="107"/>
      <c r="H121" s="168" t="s">
        <v>816</v>
      </c>
      <c r="I121" s="107" t="s">
        <v>10</v>
      </c>
      <c r="J121" s="107"/>
      <c r="K121" s="168"/>
      <c r="L121" s="107"/>
      <c r="M121" s="107"/>
      <c r="N121" s="105"/>
      <c r="O121" s="107"/>
      <c r="P121" s="105"/>
      <c r="Q121" s="107"/>
      <c r="R121" s="105"/>
      <c r="S121" s="107"/>
    </row>
    <row r="122" spans="1:19">
      <c r="A122" s="107" t="s">
        <v>122</v>
      </c>
      <c r="B122" s="105"/>
      <c r="C122" s="257"/>
      <c r="D122" s="258"/>
      <c r="E122" s="257"/>
      <c r="F122" s="258"/>
      <c r="G122" s="257"/>
      <c r="H122" s="168" t="s">
        <v>752</v>
      </c>
      <c r="I122" s="107" t="s">
        <v>10</v>
      </c>
      <c r="J122" s="257"/>
      <c r="K122" s="168"/>
      <c r="L122" s="107"/>
      <c r="M122" s="257"/>
      <c r="N122" s="258"/>
      <c r="O122" s="257"/>
      <c r="P122" s="258"/>
      <c r="Q122" s="257"/>
      <c r="R122" s="258"/>
      <c r="S122" s="257"/>
    </row>
    <row r="123" spans="1:19">
      <c r="A123" s="271" t="s">
        <v>815</v>
      </c>
      <c r="B123" s="168"/>
      <c r="H123" s="168"/>
      <c r="I123" s="257"/>
      <c r="K123" s="256"/>
      <c r="L123" s="107"/>
    </row>
    <row r="124" spans="1:19">
      <c r="A124" s="271" t="s">
        <v>523</v>
      </c>
      <c r="B124" s="168"/>
      <c r="H124" s="168"/>
      <c r="K124" s="256"/>
      <c r="L124" s="107"/>
    </row>
    <row r="125" spans="1:19">
      <c r="A125" s="107" t="s">
        <v>103</v>
      </c>
      <c r="B125" s="168"/>
      <c r="H125" s="168"/>
      <c r="K125" s="256"/>
      <c r="L125" s="107"/>
    </row>
    <row r="126" spans="1:19">
      <c r="A126" s="107" t="s">
        <v>135</v>
      </c>
      <c r="B126" s="168"/>
      <c r="H126" s="168"/>
      <c r="K126" s="256"/>
      <c r="L126" s="107"/>
    </row>
    <row r="127" spans="1:19">
      <c r="A127" s="107" t="s">
        <v>875</v>
      </c>
      <c r="B127" s="168"/>
      <c r="H127" s="168"/>
      <c r="K127" s="256"/>
      <c r="L127" s="107"/>
    </row>
    <row r="128" spans="1:19">
      <c r="A128" s="57" t="s">
        <v>714</v>
      </c>
      <c r="H128" s="168"/>
      <c r="K128" s="256"/>
      <c r="L128" s="257"/>
    </row>
    <row r="129" spans="1:11">
      <c r="A129" s="57" t="s">
        <v>906</v>
      </c>
      <c r="H129" s="168"/>
      <c r="K129" s="259"/>
    </row>
    <row r="130" spans="1:11">
      <c r="A130" s="102" t="s">
        <v>702</v>
      </c>
      <c r="H130" s="273"/>
    </row>
    <row r="131" spans="1:11">
      <c r="A131" s="102" t="s">
        <v>703</v>
      </c>
    </row>
    <row r="132" spans="1:11">
      <c r="A132" s="102" t="s">
        <v>856</v>
      </c>
    </row>
    <row r="133" spans="1:11">
      <c r="A133" s="107" t="s">
        <v>757</v>
      </c>
    </row>
    <row r="134" spans="1:11">
      <c r="A134" s="102" t="s">
        <v>756</v>
      </c>
    </row>
    <row r="135" spans="1:11">
      <c r="A135" s="107" t="s">
        <v>858</v>
      </c>
    </row>
    <row r="136" spans="1:11">
      <c r="A136" s="107" t="s">
        <v>870</v>
      </c>
    </row>
    <row r="137" spans="1:11">
      <c r="A137" s="107" t="s">
        <v>114</v>
      </c>
    </row>
    <row r="138" spans="1:11">
      <c r="A138" s="107" t="s">
        <v>904</v>
      </c>
    </row>
    <row r="139" spans="1:11">
      <c r="A139" s="107" t="s">
        <v>138</v>
      </c>
    </row>
    <row r="140" spans="1:11">
      <c r="A140" s="107" t="s">
        <v>133</v>
      </c>
    </row>
    <row r="141" spans="1:11">
      <c r="A141" s="107" t="s">
        <v>120</v>
      </c>
    </row>
    <row r="142" spans="1:11">
      <c r="A142" s="107" t="s">
        <v>820</v>
      </c>
    </row>
    <row r="143" spans="1:11">
      <c r="A143" s="107" t="s">
        <v>907</v>
      </c>
    </row>
    <row r="144" spans="1:11">
      <c r="A144" s="107" t="s">
        <v>113</v>
      </c>
    </row>
    <row r="145" spans="1:1">
      <c r="A145" s="107" t="s">
        <v>861</v>
      </c>
    </row>
    <row r="146" spans="1:1">
      <c r="A146" s="107" t="s">
        <v>786</v>
      </c>
    </row>
    <row r="147" spans="1:1">
      <c r="A147" s="107" t="s">
        <v>890</v>
      </c>
    </row>
    <row r="148" spans="1:1">
      <c r="A148" s="107" t="s">
        <v>156</v>
      </c>
    </row>
    <row r="149" spans="1:1">
      <c r="A149" s="107" t="s">
        <v>119</v>
      </c>
    </row>
    <row r="150" spans="1:1">
      <c r="A150" s="107" t="s">
        <v>837</v>
      </c>
    </row>
    <row r="151" spans="1:1">
      <c r="A151" s="271" t="s">
        <v>181</v>
      </c>
    </row>
    <row r="152" spans="1:1">
      <c r="A152" s="271" t="s">
        <v>805</v>
      </c>
    </row>
    <row r="153" spans="1:1">
      <c r="A153" s="107" t="s">
        <v>132</v>
      </c>
    </row>
    <row r="154" spans="1:1">
      <c r="A154" s="107" t="s">
        <v>818</v>
      </c>
    </row>
    <row r="155" spans="1:1">
      <c r="A155" s="107" t="s">
        <v>130</v>
      </c>
    </row>
    <row r="156" spans="1:1">
      <c r="A156" s="271" t="s">
        <v>179</v>
      </c>
    </row>
    <row r="157" spans="1:1">
      <c r="A157" s="271" t="s">
        <v>173</v>
      </c>
    </row>
    <row r="158" spans="1:1">
      <c r="A158" s="272" t="s">
        <v>139</v>
      </c>
    </row>
    <row r="159" spans="1:1">
      <c r="A159" s="272" t="s">
        <v>169</v>
      </c>
    </row>
    <row r="160" spans="1:1">
      <c r="A160" s="107" t="s">
        <v>153</v>
      </c>
    </row>
    <row r="161" spans="1:1">
      <c r="A161" s="107" t="s">
        <v>802</v>
      </c>
    </row>
    <row r="162" spans="1:1">
      <c r="A162" s="107" t="s">
        <v>917</v>
      </c>
    </row>
    <row r="163" spans="1:1">
      <c r="A163" s="107" t="s">
        <v>160</v>
      </c>
    </row>
    <row r="164" spans="1:1">
      <c r="A164" s="107" t="s">
        <v>894</v>
      </c>
    </row>
    <row r="165" spans="1:1">
      <c r="A165" s="107" t="s">
        <v>768</v>
      </c>
    </row>
    <row r="166" spans="1:1">
      <c r="A166" s="57" t="s">
        <v>716</v>
      </c>
    </row>
    <row r="167" spans="1:1">
      <c r="A167" s="57" t="s">
        <v>819</v>
      </c>
    </row>
    <row r="168" spans="1:1">
      <c r="A168" s="57" t="s">
        <v>715</v>
      </c>
    </row>
    <row r="169" spans="1:1">
      <c r="A169" s="57" t="s">
        <v>760</v>
      </c>
    </row>
    <row r="170" spans="1:1">
      <c r="A170" s="271" t="s">
        <v>174</v>
      </c>
    </row>
    <row r="171" spans="1:1">
      <c r="A171" s="107" t="s">
        <v>155</v>
      </c>
    </row>
    <row r="172" spans="1:1">
      <c r="A172" s="107" t="s">
        <v>871</v>
      </c>
    </row>
    <row r="173" spans="1:1">
      <c r="A173" s="107" t="s">
        <v>887</v>
      </c>
    </row>
    <row r="174" spans="1:1">
      <c r="A174" s="107" t="s">
        <v>157</v>
      </c>
    </row>
    <row r="175" spans="1:1">
      <c r="A175" s="107" t="s">
        <v>855</v>
      </c>
    </row>
    <row r="176" spans="1:1">
      <c r="A176" s="107" t="s">
        <v>524</v>
      </c>
    </row>
    <row r="177" spans="1:1">
      <c r="A177" s="271" t="s">
        <v>178</v>
      </c>
    </row>
    <row r="178" spans="1:1">
      <c r="A178" s="107" t="s">
        <v>170</v>
      </c>
    </row>
    <row r="179" spans="1:1">
      <c r="A179" s="107" t="s">
        <v>838</v>
      </c>
    </row>
    <row r="180" spans="1:1">
      <c r="A180" s="107" t="s">
        <v>891</v>
      </c>
    </row>
    <row r="181" spans="1:1">
      <c r="A181" s="107" t="s">
        <v>839</v>
      </c>
    </row>
    <row r="182" spans="1:1">
      <c r="A182" s="107" t="s">
        <v>143</v>
      </c>
    </row>
    <row r="183" spans="1:1">
      <c r="A183" s="107" t="s">
        <v>102</v>
      </c>
    </row>
    <row r="184" spans="1:1">
      <c r="A184" s="107" t="s">
        <v>888</v>
      </c>
    </row>
    <row r="185" spans="1:1">
      <c r="A185" s="107" t="s">
        <v>152</v>
      </c>
    </row>
    <row r="186" spans="1:1">
      <c r="A186" s="107" t="s">
        <v>154</v>
      </c>
    </row>
    <row r="187" spans="1:1">
      <c r="A187" s="107" t="s">
        <v>110</v>
      </c>
    </row>
    <row r="188" spans="1:1">
      <c r="A188" s="107" t="s">
        <v>878</v>
      </c>
    </row>
    <row r="189" spans="1:1">
      <c r="A189" s="107" t="s">
        <v>879</v>
      </c>
    </row>
    <row r="190" spans="1:1">
      <c r="A190" s="107" t="s">
        <v>101</v>
      </c>
    </row>
    <row r="191" spans="1:1">
      <c r="A191" s="57" t="s">
        <v>717</v>
      </c>
    </row>
    <row r="192" spans="1:1">
      <c r="A192" s="107" t="s">
        <v>141</v>
      </c>
    </row>
    <row r="193" spans="1:1">
      <c r="A193" s="107" t="s">
        <v>905</v>
      </c>
    </row>
    <row r="194" spans="1:1">
      <c r="A194" s="107" t="s">
        <v>816</v>
      </c>
    </row>
    <row r="195" spans="1:1">
      <c r="A195" s="107" t="s">
        <v>901</v>
      </c>
    </row>
    <row r="196" spans="1:1">
      <c r="A196" s="107" t="s">
        <v>100</v>
      </c>
    </row>
    <row r="197" spans="1:1">
      <c r="A197" s="107" t="s">
        <v>817</v>
      </c>
    </row>
    <row r="198" spans="1:1">
      <c r="A198" s="107" t="s">
        <v>530</v>
      </c>
    </row>
    <row r="199" spans="1:1">
      <c r="A199" s="107" t="s">
        <v>877</v>
      </c>
    </row>
    <row r="200" spans="1:1" ht="15.75" thickBot="1">
      <c r="A200" s="375" t="s">
        <v>911</v>
      </c>
    </row>
    <row r="202" spans="1:1">
      <c r="A202" s="274"/>
    </row>
    <row r="203" spans="1:1">
      <c r="A203" s="274"/>
    </row>
    <row r="204" spans="1:1">
      <c r="A204" s="274"/>
    </row>
    <row r="205" spans="1:1">
      <c r="A205" s="274"/>
    </row>
    <row r="206" spans="1:1">
      <c r="A206" s="274"/>
    </row>
    <row r="207" spans="1:1">
      <c r="A207" s="274"/>
    </row>
    <row r="208" spans="1:1">
      <c r="A208" s="274"/>
    </row>
    <row r="209" spans="1:1">
      <c r="A209" s="274"/>
    </row>
    <row r="210" spans="1:1">
      <c r="A210" s="274"/>
    </row>
    <row r="211" spans="1:1">
      <c r="A211" s="274"/>
    </row>
    <row r="212" spans="1:1">
      <c r="A212" s="274"/>
    </row>
    <row r="213" spans="1:1">
      <c r="A213" s="274"/>
    </row>
    <row r="214" spans="1:1">
      <c r="A214" s="274"/>
    </row>
    <row r="215" spans="1:1">
      <c r="A215" s="274"/>
    </row>
    <row r="216" spans="1:1">
      <c r="A216" s="274"/>
    </row>
    <row r="217" spans="1:1">
      <c r="A217" s="274"/>
    </row>
    <row r="218" spans="1:1">
      <c r="A218" s="274"/>
    </row>
    <row r="219" spans="1:1">
      <c r="A219" s="274"/>
    </row>
    <row r="220" spans="1:1">
      <c r="A220" s="274"/>
    </row>
  </sheetData>
  <sortState ref="K3:K100">
    <sortCondition ref="K100"/>
  </sortState>
  <dataValidations count="3">
    <dataValidation type="list" allowBlank="1" showInputMessage="1" showErrorMessage="1" sqref="M3:N27">
      <formula1>ListeTalent</formula1>
    </dataValidation>
    <dataValidation type="list" allowBlank="1" showInputMessage="1" showErrorMessage="1" sqref="T2:V13">
      <formula1>CompetenceListe</formula1>
    </dataValidation>
    <dataValidation type="list" allowBlank="1" showInputMessage="1" showErrorMessage="1" sqref="D3:E63 G3:G63 F3:F56 F58:F63">
      <formula1>ListeCarriereBase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DZ123"/>
  <sheetViews>
    <sheetView zoomScale="75" zoomScaleNormal="75" workbookViewId="0">
      <pane xSplit="1" ySplit="1" topLeftCell="T75" activePane="bottomRight" state="frozen"/>
      <selection activeCell="B5" sqref="B5:H26"/>
      <selection pane="topRight" activeCell="B5" sqref="B5:H26"/>
      <selection pane="bottomLeft" activeCell="B5" sqref="B5:H26"/>
      <selection pane="bottomRight" activeCell="E13" sqref="E13"/>
    </sheetView>
  </sheetViews>
  <sheetFormatPr baseColWidth="10" defaultColWidth="9.140625" defaultRowHeight="15" outlineLevelRow="2"/>
  <cols>
    <col min="1" max="1" width="9.140625" style="122"/>
    <col min="2" max="5" width="27.140625" style="7" customWidth="1"/>
    <col min="7" max="7" width="4.7109375" style="198" customWidth="1"/>
    <col min="8" max="10" width="10.7109375" customWidth="1"/>
    <col min="11" max="11" width="11.85546875" customWidth="1"/>
    <col min="12" max="108" width="10.7109375" customWidth="1"/>
    <col min="109" max="120" width="10.7109375" style="121" customWidth="1"/>
    <col min="127" max="127" width="32.140625" style="121" customWidth="1"/>
    <col min="128" max="128" width="29.5703125" style="121" customWidth="1"/>
    <col min="129" max="129" width="27.7109375" style="121" customWidth="1"/>
    <col min="130" max="130" width="23.7109375" style="121" customWidth="1"/>
  </cols>
  <sheetData>
    <row r="1" spans="1:130" s="164" customFormat="1" ht="49.5" customHeight="1" thickBot="1">
      <c r="B1" s="177" t="str">
        <f>CONCATENATE("Race"&amp;CHAR(10)&amp;Race)</f>
        <v>Race
Humain</v>
      </c>
      <c r="C1" s="177" t="str">
        <f>CONCATENATE("1er Carriere"&amp;CHAR(10)&amp;Carriere1)</f>
        <v>1er Carriere
marin</v>
      </c>
      <c r="D1" s="177" t="str">
        <f>CONCATENATE("2eme Carriere"&amp;CHAR(10)&amp;Carriere2)</f>
        <v>2eme Carriere
valet</v>
      </c>
      <c r="E1" s="276" t="str">
        <f>CONCATENATE("3eme Carriere"&amp;CHAR(10)&amp;Carriere3)</f>
        <v>3eme Carriere
chiffonnier</v>
      </c>
      <c r="F1" s="277"/>
      <c r="G1" s="165" t="s">
        <v>97</v>
      </c>
      <c r="H1" s="166" t="s">
        <v>17</v>
      </c>
      <c r="I1" s="167" t="s">
        <v>18</v>
      </c>
      <c r="J1" s="124" t="s">
        <v>399</v>
      </c>
      <c r="K1" s="167" t="s">
        <v>19</v>
      </c>
      <c r="L1" s="124" t="s">
        <v>400</v>
      </c>
      <c r="M1" s="124" t="s">
        <v>401</v>
      </c>
      <c r="N1" s="124" t="s">
        <v>402</v>
      </c>
      <c r="O1" s="124" t="s">
        <v>451</v>
      </c>
      <c r="P1" s="167" t="s">
        <v>20</v>
      </c>
      <c r="Q1" s="167" t="s">
        <v>21</v>
      </c>
      <c r="R1" s="125" t="s">
        <v>22</v>
      </c>
      <c r="S1" s="124" t="s">
        <v>23</v>
      </c>
      <c r="T1" s="124" t="s">
        <v>403</v>
      </c>
      <c r="U1" s="124" t="s">
        <v>24</v>
      </c>
      <c r="V1" s="124" t="s">
        <v>404</v>
      </c>
      <c r="W1" s="124" t="s">
        <v>405</v>
      </c>
      <c r="X1" s="124" t="s">
        <v>406</v>
      </c>
      <c r="Y1" s="124" t="s">
        <v>407</v>
      </c>
      <c r="Z1" s="124" t="s">
        <v>25</v>
      </c>
      <c r="AA1" s="124" t="s">
        <v>408</v>
      </c>
      <c r="AB1" s="124" t="s">
        <v>27</v>
      </c>
      <c r="AC1" s="124" t="s">
        <v>26</v>
      </c>
      <c r="AD1" s="124" t="s">
        <v>409</v>
      </c>
      <c r="AE1" s="124" t="s">
        <v>809</v>
      </c>
      <c r="AF1" s="124" t="s">
        <v>411</v>
      </c>
      <c r="AG1" s="124" t="s">
        <v>412</v>
      </c>
      <c r="AH1" s="124" t="s">
        <v>829</v>
      </c>
      <c r="AI1" s="124" t="s">
        <v>28</v>
      </c>
      <c r="AJ1" s="124" t="s">
        <v>29</v>
      </c>
      <c r="AK1" s="124" t="s">
        <v>30</v>
      </c>
      <c r="AL1" s="124" t="s">
        <v>31</v>
      </c>
      <c r="AM1" s="124" t="s">
        <v>413</v>
      </c>
      <c r="AN1" s="124" t="s">
        <v>32</v>
      </c>
      <c r="AO1" s="124" t="s">
        <v>33</v>
      </c>
      <c r="AP1" s="124" t="s">
        <v>414</v>
      </c>
      <c r="AQ1" s="124" t="s">
        <v>415</v>
      </c>
      <c r="AR1" s="124" t="s">
        <v>34</v>
      </c>
      <c r="AS1" s="124" t="s">
        <v>416</v>
      </c>
      <c r="AT1" s="124" t="s">
        <v>831</v>
      </c>
      <c r="AU1" s="124" t="s">
        <v>35</v>
      </c>
      <c r="AV1" s="124" t="s">
        <v>36</v>
      </c>
      <c r="AW1" s="124" t="s">
        <v>417</v>
      </c>
      <c r="AX1" s="124" t="s">
        <v>37</v>
      </c>
      <c r="AY1" s="124" t="s">
        <v>418</v>
      </c>
      <c r="AZ1" s="124" t="s">
        <v>832</v>
      </c>
      <c r="BA1" s="124" t="s">
        <v>419</v>
      </c>
      <c r="BB1" s="124" t="s">
        <v>38</v>
      </c>
      <c r="BC1" s="124" t="s">
        <v>420</v>
      </c>
      <c r="BD1" s="124" t="s">
        <v>421</v>
      </c>
      <c r="BE1" s="124" t="s">
        <v>39</v>
      </c>
      <c r="BF1" s="124" t="s">
        <v>40</v>
      </c>
      <c r="BG1" s="124" t="s">
        <v>41</v>
      </c>
      <c r="BH1" s="124" t="s">
        <v>810</v>
      </c>
      <c r="BI1" s="124" t="s">
        <v>43</v>
      </c>
      <c r="BJ1" s="124" t="s">
        <v>422</v>
      </c>
      <c r="BK1" s="124" t="s">
        <v>423</v>
      </c>
      <c r="BL1" s="124" t="s">
        <v>44</v>
      </c>
      <c r="BM1" s="124" t="s">
        <v>424</v>
      </c>
      <c r="BN1" s="124" t="s">
        <v>45</v>
      </c>
      <c r="BO1" s="124" t="s">
        <v>425</v>
      </c>
      <c r="BP1" s="124" t="s">
        <v>46</v>
      </c>
      <c r="BQ1" s="124" t="s">
        <v>427</v>
      </c>
      <c r="BR1" s="124" t="s">
        <v>428</v>
      </c>
      <c r="BS1" s="124" t="s">
        <v>426</v>
      </c>
      <c r="BT1" s="124" t="s">
        <v>429</v>
      </c>
      <c r="BU1" s="125" t="s">
        <v>47</v>
      </c>
      <c r="BV1" s="124" t="s">
        <v>48</v>
      </c>
      <c r="BW1" s="124" t="s">
        <v>430</v>
      </c>
      <c r="BX1" s="124" t="s">
        <v>431</v>
      </c>
      <c r="BY1" s="124" t="s">
        <v>49</v>
      </c>
      <c r="BZ1" s="124" t="s">
        <v>50</v>
      </c>
      <c r="CA1" s="124" t="s">
        <v>51</v>
      </c>
      <c r="CB1" s="124" t="s">
        <v>52</v>
      </c>
      <c r="CC1" s="124" t="s">
        <v>53</v>
      </c>
      <c r="CD1" s="124" t="s">
        <v>432</v>
      </c>
      <c r="CE1" s="124" t="s">
        <v>433</v>
      </c>
      <c r="CF1" s="124" t="s">
        <v>434</v>
      </c>
      <c r="CG1" s="124" t="s">
        <v>54</v>
      </c>
      <c r="CH1" s="124" t="s">
        <v>435</v>
      </c>
      <c r="CI1" s="124" t="s">
        <v>55</v>
      </c>
      <c r="CJ1" s="124" t="s">
        <v>56</v>
      </c>
      <c r="CK1" s="124" t="s">
        <v>57</v>
      </c>
      <c r="CL1" s="124" t="s">
        <v>830</v>
      </c>
      <c r="CM1" s="124" t="s">
        <v>58</v>
      </c>
      <c r="CN1" s="124" t="s">
        <v>436</v>
      </c>
      <c r="CO1" s="124" t="s">
        <v>437</v>
      </c>
      <c r="CP1" s="124" t="s">
        <v>438</v>
      </c>
      <c r="CQ1" s="124" t="s">
        <v>59</v>
      </c>
      <c r="CR1" s="124" t="s">
        <v>439</v>
      </c>
      <c r="CS1" s="124" t="s">
        <v>440</v>
      </c>
      <c r="CT1" s="124" t="s">
        <v>441</v>
      </c>
      <c r="CU1" s="124" t="s">
        <v>442</v>
      </c>
      <c r="CV1" s="124" t="s">
        <v>60</v>
      </c>
      <c r="CW1" s="124" t="s">
        <v>443</v>
      </c>
      <c r="CX1" s="124" t="s">
        <v>61</v>
      </c>
      <c r="CY1" s="124" t="s">
        <v>444</v>
      </c>
      <c r="CZ1" s="124" t="s">
        <v>445</v>
      </c>
      <c r="DA1" s="124" t="s">
        <v>62</v>
      </c>
      <c r="DB1" s="124" t="s">
        <v>446</v>
      </c>
      <c r="DC1" s="124" t="s">
        <v>63</v>
      </c>
      <c r="DD1" s="124" t="s">
        <v>447</v>
      </c>
      <c r="DE1" s="124" t="s">
        <v>64</v>
      </c>
      <c r="DF1" s="124" t="s">
        <v>65</v>
      </c>
      <c r="DG1" s="124" t="s">
        <v>66</v>
      </c>
      <c r="DH1" s="124" t="s">
        <v>67</v>
      </c>
      <c r="DI1" s="124" t="s">
        <v>68</v>
      </c>
      <c r="DJ1" s="124" t="s">
        <v>448</v>
      </c>
      <c r="DK1" s="124" t="s">
        <v>449</v>
      </c>
      <c r="DL1" s="124" t="s">
        <v>69</v>
      </c>
      <c r="DM1" s="124" t="s">
        <v>70</v>
      </c>
      <c r="DN1" s="124" t="s">
        <v>71</v>
      </c>
      <c r="DO1" s="124" t="s">
        <v>450</v>
      </c>
      <c r="DP1" s="125" t="s">
        <v>72</v>
      </c>
      <c r="DW1" s="197" t="s">
        <v>12</v>
      </c>
      <c r="DX1" s="197" t="s">
        <v>1</v>
      </c>
      <c r="DY1" s="197" t="s">
        <v>0</v>
      </c>
      <c r="DZ1" s="197" t="s">
        <v>11</v>
      </c>
    </row>
    <row r="2" spans="1:130" s="184" customFormat="1" outlineLevel="1">
      <c r="A2" s="640" t="s">
        <v>610</v>
      </c>
      <c r="B2" s="83"/>
      <c r="C2" s="83">
        <f t="shared" ref="C2:C33" si="0">LOOKUP(Carriere1,$G$1:$DP$1,$G2:$DP2)</f>
        <v>10</v>
      </c>
      <c r="D2" s="83">
        <f t="shared" ref="D2:D13" si="1">LOOKUP(Carriere2,$G$1:$DP$1,$G2:$DP2)</f>
        <v>0</v>
      </c>
      <c r="E2" s="83">
        <f t="shared" ref="E2:E13" si="2">LOOKUP(Carriere3,$G$1:$DP$1,$G2:$DP2)</f>
        <v>5</v>
      </c>
      <c r="F2" s="640" t="s">
        <v>610</v>
      </c>
      <c r="G2" s="90" t="s">
        <v>97</v>
      </c>
      <c r="H2" s="126">
        <v>5</v>
      </c>
      <c r="I2" s="144"/>
      <c r="J2" s="144">
        <v>25</v>
      </c>
      <c r="K2" s="144"/>
      <c r="L2" s="144">
        <v>25</v>
      </c>
      <c r="M2" s="144">
        <v>10</v>
      </c>
      <c r="N2" s="144">
        <v>20</v>
      </c>
      <c r="O2" s="144">
        <v>20</v>
      </c>
      <c r="P2" s="144">
        <v>5</v>
      </c>
      <c r="Q2" s="144">
        <v>10</v>
      </c>
      <c r="R2" s="144">
        <v>15</v>
      </c>
      <c r="S2" s="144">
        <v>5</v>
      </c>
      <c r="T2" s="144">
        <v>15</v>
      </c>
      <c r="U2" s="144">
        <v>10</v>
      </c>
      <c r="V2" s="144">
        <v>30</v>
      </c>
      <c r="W2" s="144">
        <v>25</v>
      </c>
      <c r="X2" s="144">
        <v>40</v>
      </c>
      <c r="Y2" s="144">
        <v>35</v>
      </c>
      <c r="Z2" s="144">
        <v>5</v>
      </c>
      <c r="AA2" s="144">
        <v>10</v>
      </c>
      <c r="AB2" s="144"/>
      <c r="AC2" s="144">
        <v>5</v>
      </c>
      <c r="AD2" s="144">
        <v>20</v>
      </c>
      <c r="AE2" s="144">
        <v>20</v>
      </c>
      <c r="AF2" s="144">
        <v>25</v>
      </c>
      <c r="AG2" s="144">
        <v>35</v>
      </c>
      <c r="AH2" s="144">
        <v>5</v>
      </c>
      <c r="AI2" s="144">
        <v>5</v>
      </c>
      <c r="AJ2" s="144">
        <v>5</v>
      </c>
      <c r="AK2" s="144">
        <v>10</v>
      </c>
      <c r="AL2" s="144">
        <v>10</v>
      </c>
      <c r="AM2" s="144">
        <v>5</v>
      </c>
      <c r="AN2" s="144">
        <v>5</v>
      </c>
      <c r="AO2" s="144">
        <v>10</v>
      </c>
      <c r="AP2" s="144">
        <v>5</v>
      </c>
      <c r="AQ2" s="144">
        <v>10</v>
      </c>
      <c r="AR2" s="144">
        <v>15</v>
      </c>
      <c r="AS2" s="144">
        <v>20</v>
      </c>
      <c r="AT2" s="144">
        <v>5</v>
      </c>
      <c r="AU2" s="144">
        <v>10</v>
      </c>
      <c r="AV2" s="144">
        <v>5</v>
      </c>
      <c r="AW2" s="144">
        <v>5</v>
      </c>
      <c r="AX2" s="144">
        <v>5</v>
      </c>
      <c r="AY2" s="144">
        <v>15</v>
      </c>
      <c r="AZ2" s="144"/>
      <c r="BA2" s="144">
        <v>20</v>
      </c>
      <c r="BB2" s="144">
        <v>10</v>
      </c>
      <c r="BC2" s="144">
        <v>15</v>
      </c>
      <c r="BD2" s="144"/>
      <c r="BE2" s="144">
        <v>10</v>
      </c>
      <c r="BF2" s="144">
        <v>10</v>
      </c>
      <c r="BG2" s="144">
        <v>5</v>
      </c>
      <c r="BH2" s="144">
        <v>10</v>
      </c>
      <c r="BI2" s="144">
        <v>15</v>
      </c>
      <c r="BJ2" s="144">
        <v>20</v>
      </c>
      <c r="BK2" s="144">
        <v>10</v>
      </c>
      <c r="BL2" s="144">
        <v>10</v>
      </c>
      <c r="BM2" s="144">
        <v>10</v>
      </c>
      <c r="BN2" s="144">
        <v>5</v>
      </c>
      <c r="BO2" s="144">
        <v>10</v>
      </c>
      <c r="BP2" s="144">
        <v>10</v>
      </c>
      <c r="BQ2" s="144">
        <v>10</v>
      </c>
      <c r="BR2" s="144">
        <v>10</v>
      </c>
      <c r="BS2" s="144"/>
      <c r="BT2" s="144">
        <v>10</v>
      </c>
      <c r="BU2" s="144">
        <v>10</v>
      </c>
      <c r="BV2" s="144">
        <v>10</v>
      </c>
      <c r="BW2" s="144"/>
      <c r="BX2" s="144">
        <v>10</v>
      </c>
      <c r="BY2" s="144"/>
      <c r="BZ2" s="144">
        <v>10</v>
      </c>
      <c r="CA2" s="144">
        <v>5</v>
      </c>
      <c r="CB2" s="144">
        <v>10</v>
      </c>
      <c r="CC2" s="144">
        <v>5</v>
      </c>
      <c r="CD2" s="144">
        <v>10</v>
      </c>
      <c r="CE2" s="144">
        <v>10</v>
      </c>
      <c r="CF2" s="144">
        <v>10</v>
      </c>
      <c r="CG2" s="144">
        <v>10</v>
      </c>
      <c r="CH2" s="144">
        <v>15</v>
      </c>
      <c r="CI2" s="144">
        <v>5</v>
      </c>
      <c r="CJ2" s="144">
        <v>10</v>
      </c>
      <c r="CK2" s="144">
        <v>5</v>
      </c>
      <c r="CL2" s="144"/>
      <c r="CM2" s="144">
        <v>10</v>
      </c>
      <c r="CN2" s="144">
        <v>20</v>
      </c>
      <c r="CO2" s="144">
        <v>20</v>
      </c>
      <c r="CP2" s="144">
        <v>5</v>
      </c>
      <c r="CQ2" s="144">
        <v>10</v>
      </c>
      <c r="CR2" s="144">
        <v>10</v>
      </c>
      <c r="CS2" s="144">
        <v>15</v>
      </c>
      <c r="CT2" s="144">
        <v>20</v>
      </c>
      <c r="CU2" s="144">
        <v>20</v>
      </c>
      <c r="CV2" s="144">
        <v>5</v>
      </c>
      <c r="CW2" s="144">
        <v>15</v>
      </c>
      <c r="CX2" s="144">
        <v>5</v>
      </c>
      <c r="CY2" s="144">
        <v>30</v>
      </c>
      <c r="CZ2" s="144">
        <v>20</v>
      </c>
      <c r="DA2" s="144"/>
      <c r="DB2" s="144">
        <v>15</v>
      </c>
      <c r="DC2" s="144">
        <v>5</v>
      </c>
      <c r="DD2" s="144">
        <v>20</v>
      </c>
      <c r="DE2" s="127">
        <v>5</v>
      </c>
      <c r="DF2" s="127">
        <v>10</v>
      </c>
      <c r="DG2" s="127"/>
      <c r="DH2" s="127">
        <v>10</v>
      </c>
      <c r="DI2" s="127">
        <v>5</v>
      </c>
      <c r="DJ2" s="127">
        <v>40</v>
      </c>
      <c r="DK2" s="127">
        <v>25</v>
      </c>
      <c r="DL2" s="127">
        <v>10</v>
      </c>
      <c r="DM2" s="127">
        <v>5</v>
      </c>
      <c r="DN2" s="127"/>
      <c r="DO2" s="127">
        <v>20</v>
      </c>
      <c r="DP2" s="128">
        <v>5</v>
      </c>
      <c r="DW2" s="128"/>
      <c r="DX2" s="128"/>
      <c r="DY2" s="128"/>
      <c r="DZ2" s="128"/>
    </row>
    <row r="3" spans="1:130" s="185" customFormat="1" outlineLevel="1">
      <c r="A3" s="641"/>
      <c r="B3" s="84"/>
      <c r="C3" s="84">
        <f t="shared" si="0"/>
        <v>5</v>
      </c>
      <c r="D3" s="84">
        <f t="shared" si="1"/>
        <v>0</v>
      </c>
      <c r="E3" s="84">
        <f t="shared" si="2"/>
        <v>0</v>
      </c>
      <c r="F3" s="641"/>
      <c r="G3" s="64" t="s">
        <v>97</v>
      </c>
      <c r="H3" s="129">
        <v>5</v>
      </c>
      <c r="I3" s="145"/>
      <c r="J3" s="145">
        <v>15</v>
      </c>
      <c r="K3" s="145"/>
      <c r="L3" s="145">
        <v>25</v>
      </c>
      <c r="M3" s="145">
        <v>5</v>
      </c>
      <c r="N3" s="145">
        <v>20</v>
      </c>
      <c r="O3" s="145">
        <v>20</v>
      </c>
      <c r="P3" s="145">
        <v>10</v>
      </c>
      <c r="Q3" s="145">
        <v>5</v>
      </c>
      <c r="R3" s="145"/>
      <c r="S3" s="145"/>
      <c r="T3" s="145"/>
      <c r="U3" s="145"/>
      <c r="V3" s="145">
        <v>20</v>
      </c>
      <c r="W3" s="145">
        <v>20</v>
      </c>
      <c r="X3" s="145">
        <v>40</v>
      </c>
      <c r="Y3" s="145"/>
      <c r="Z3" s="145"/>
      <c r="AA3" s="145">
        <v>10</v>
      </c>
      <c r="AB3" s="145">
        <v>15</v>
      </c>
      <c r="AC3" s="145">
        <v>10</v>
      </c>
      <c r="AD3" s="145">
        <v>20</v>
      </c>
      <c r="AE3" s="145">
        <v>30</v>
      </c>
      <c r="AF3" s="145"/>
      <c r="AG3" s="145">
        <v>10</v>
      </c>
      <c r="AH3" s="145"/>
      <c r="AI3" s="145"/>
      <c r="AJ3" s="145">
        <v>10</v>
      </c>
      <c r="AK3" s="145">
        <v>5</v>
      </c>
      <c r="AL3" s="145"/>
      <c r="AM3" s="145">
        <v>5</v>
      </c>
      <c r="AN3" s="145">
        <v>5</v>
      </c>
      <c r="AO3" s="145"/>
      <c r="AP3" s="145">
        <v>5</v>
      </c>
      <c r="AQ3" s="145">
        <v>10</v>
      </c>
      <c r="AR3" s="145"/>
      <c r="AS3" s="145">
        <v>20</v>
      </c>
      <c r="AT3" s="145">
        <v>10</v>
      </c>
      <c r="AU3" s="145">
        <v>5</v>
      </c>
      <c r="AV3" s="145">
        <v>5</v>
      </c>
      <c r="AW3" s="145">
        <v>5</v>
      </c>
      <c r="AX3" s="145">
        <v>5</v>
      </c>
      <c r="AY3" s="145">
        <v>15</v>
      </c>
      <c r="AZ3" s="145"/>
      <c r="BA3" s="145">
        <v>20</v>
      </c>
      <c r="BB3" s="145"/>
      <c r="BC3" s="145"/>
      <c r="BD3" s="145">
        <v>35</v>
      </c>
      <c r="BE3" s="145">
        <v>5</v>
      </c>
      <c r="BF3" s="145"/>
      <c r="BG3" s="145">
        <v>5</v>
      </c>
      <c r="BH3" s="145"/>
      <c r="BI3" s="145"/>
      <c r="BJ3" s="145">
        <v>20</v>
      </c>
      <c r="BK3" s="145">
        <v>10</v>
      </c>
      <c r="BL3" s="145">
        <v>10</v>
      </c>
      <c r="BM3" s="145">
        <v>15</v>
      </c>
      <c r="BN3" s="145">
        <v>5</v>
      </c>
      <c r="BO3" s="145">
        <v>10</v>
      </c>
      <c r="BP3" s="145">
        <v>10</v>
      </c>
      <c r="BQ3" s="145">
        <v>10</v>
      </c>
      <c r="BR3" s="145">
        <v>10</v>
      </c>
      <c r="BS3" s="145"/>
      <c r="BT3" s="145">
        <v>10</v>
      </c>
      <c r="BU3" s="145">
        <v>5</v>
      </c>
      <c r="BV3" s="145">
        <v>10</v>
      </c>
      <c r="BW3" s="145"/>
      <c r="BX3" s="145">
        <v>10</v>
      </c>
      <c r="BY3" s="145"/>
      <c r="BZ3" s="145">
        <v>10</v>
      </c>
      <c r="CA3" s="145">
        <v>5</v>
      </c>
      <c r="CB3" s="145">
        <v>5</v>
      </c>
      <c r="CC3" s="145">
        <v>5</v>
      </c>
      <c r="CD3" s="145"/>
      <c r="CE3" s="145">
        <v>10</v>
      </c>
      <c r="CF3" s="145">
        <v>10</v>
      </c>
      <c r="CG3" s="145">
        <v>5</v>
      </c>
      <c r="CH3" s="145">
        <v>15</v>
      </c>
      <c r="CI3" s="145">
        <v>5</v>
      </c>
      <c r="CJ3" s="145">
        <v>10</v>
      </c>
      <c r="CK3" s="145">
        <v>5</v>
      </c>
      <c r="CL3" s="145">
        <v>5</v>
      </c>
      <c r="CM3" s="145"/>
      <c r="CN3" s="145">
        <v>20</v>
      </c>
      <c r="CO3" s="145">
        <v>20</v>
      </c>
      <c r="CP3" s="145">
        <v>5</v>
      </c>
      <c r="CQ3" s="145"/>
      <c r="CR3" s="145">
        <v>10</v>
      </c>
      <c r="CS3" s="145">
        <v>15</v>
      </c>
      <c r="CT3" s="145">
        <v>20</v>
      </c>
      <c r="CU3" s="145">
        <v>15</v>
      </c>
      <c r="CV3" s="145">
        <v>10</v>
      </c>
      <c r="CW3" s="145">
        <v>10</v>
      </c>
      <c r="CX3" s="145">
        <v>5</v>
      </c>
      <c r="CY3" s="145">
        <v>30</v>
      </c>
      <c r="CZ3" s="145">
        <v>30</v>
      </c>
      <c r="DA3" s="145"/>
      <c r="DB3" s="145">
        <v>15</v>
      </c>
      <c r="DC3" s="145">
        <v>10</v>
      </c>
      <c r="DD3" s="145">
        <v>15</v>
      </c>
      <c r="DE3" s="130"/>
      <c r="DF3" s="130">
        <v>10</v>
      </c>
      <c r="DG3" s="130"/>
      <c r="DH3" s="130"/>
      <c r="DI3" s="130">
        <v>5</v>
      </c>
      <c r="DJ3" s="130"/>
      <c r="DK3" s="130"/>
      <c r="DL3" s="130"/>
      <c r="DM3" s="130">
        <v>10</v>
      </c>
      <c r="DN3" s="130"/>
      <c r="DO3" s="130">
        <v>20</v>
      </c>
      <c r="DP3" s="131">
        <v>5</v>
      </c>
      <c r="DW3" s="131"/>
      <c r="DX3" s="131"/>
      <c r="DY3" s="131"/>
      <c r="DZ3" s="131"/>
    </row>
    <row r="4" spans="1:130" s="185" customFormat="1" outlineLevel="1">
      <c r="A4" s="641"/>
      <c r="B4" s="84"/>
      <c r="C4" s="84">
        <f t="shared" si="0"/>
        <v>10</v>
      </c>
      <c r="D4" s="84">
        <f t="shared" si="1"/>
        <v>0</v>
      </c>
      <c r="E4" s="84">
        <f t="shared" si="2"/>
        <v>5</v>
      </c>
      <c r="F4" s="641"/>
      <c r="G4" s="64" t="s">
        <v>97</v>
      </c>
      <c r="H4" s="129"/>
      <c r="I4" s="145"/>
      <c r="J4" s="145">
        <v>10</v>
      </c>
      <c r="K4" s="145">
        <v>5</v>
      </c>
      <c r="L4" s="145">
        <v>10</v>
      </c>
      <c r="M4" s="145">
        <v>5</v>
      </c>
      <c r="N4" s="145">
        <v>10</v>
      </c>
      <c r="O4" s="145">
        <v>15</v>
      </c>
      <c r="P4" s="145"/>
      <c r="Q4" s="145">
        <v>5</v>
      </c>
      <c r="R4" s="145">
        <v>10</v>
      </c>
      <c r="S4" s="145"/>
      <c r="T4" s="145">
        <v>20</v>
      </c>
      <c r="U4" s="145">
        <v>10</v>
      </c>
      <c r="V4" s="145">
        <v>20</v>
      </c>
      <c r="W4" s="145">
        <v>15</v>
      </c>
      <c r="X4" s="145">
        <v>25</v>
      </c>
      <c r="Y4" s="145">
        <v>15</v>
      </c>
      <c r="Z4" s="145">
        <v>5</v>
      </c>
      <c r="AA4" s="145">
        <v>5</v>
      </c>
      <c r="AB4" s="145"/>
      <c r="AC4" s="145"/>
      <c r="AD4" s="145">
        <v>10</v>
      </c>
      <c r="AE4" s="145">
        <v>10</v>
      </c>
      <c r="AF4" s="145">
        <v>15</v>
      </c>
      <c r="AG4" s="145">
        <v>20</v>
      </c>
      <c r="AH4" s="145">
        <v>5</v>
      </c>
      <c r="AI4" s="145"/>
      <c r="AJ4" s="145"/>
      <c r="AK4" s="145">
        <v>5</v>
      </c>
      <c r="AL4" s="145">
        <v>5</v>
      </c>
      <c r="AM4" s="145"/>
      <c r="AN4" s="145"/>
      <c r="AO4" s="145">
        <v>5</v>
      </c>
      <c r="AP4" s="145"/>
      <c r="AQ4" s="145"/>
      <c r="AR4" s="145">
        <v>5</v>
      </c>
      <c r="AS4" s="145">
        <v>10</v>
      </c>
      <c r="AT4" s="145"/>
      <c r="AU4" s="145">
        <v>5</v>
      </c>
      <c r="AV4" s="145"/>
      <c r="AW4" s="145">
        <v>5</v>
      </c>
      <c r="AX4" s="145"/>
      <c r="AY4" s="145">
        <v>5</v>
      </c>
      <c r="AZ4" s="145"/>
      <c r="BA4" s="145">
        <v>10</v>
      </c>
      <c r="BB4" s="145">
        <v>5</v>
      </c>
      <c r="BC4" s="145">
        <v>10</v>
      </c>
      <c r="BD4" s="145">
        <v>10</v>
      </c>
      <c r="BE4" s="145">
        <v>5</v>
      </c>
      <c r="BF4" s="145">
        <v>5</v>
      </c>
      <c r="BG4" s="145"/>
      <c r="BH4" s="145">
        <v>10</v>
      </c>
      <c r="BI4" s="145"/>
      <c r="BJ4" s="145">
        <v>15</v>
      </c>
      <c r="BK4" s="145">
        <v>5</v>
      </c>
      <c r="BL4" s="145"/>
      <c r="BM4" s="145">
        <v>5</v>
      </c>
      <c r="BN4" s="145"/>
      <c r="BO4" s="145">
        <v>10</v>
      </c>
      <c r="BP4" s="145"/>
      <c r="BQ4" s="145"/>
      <c r="BR4" s="145"/>
      <c r="BS4" s="145">
        <v>10</v>
      </c>
      <c r="BT4" s="145">
        <v>5</v>
      </c>
      <c r="BU4" s="145">
        <v>10</v>
      </c>
      <c r="BV4" s="145">
        <v>10</v>
      </c>
      <c r="BW4" s="145">
        <v>10</v>
      </c>
      <c r="BX4" s="145"/>
      <c r="BY4" s="145"/>
      <c r="BZ4" s="145">
        <v>5</v>
      </c>
      <c r="CA4" s="145"/>
      <c r="CB4" s="145">
        <v>5</v>
      </c>
      <c r="CC4" s="145">
        <v>10</v>
      </c>
      <c r="CD4" s="145">
        <v>5</v>
      </c>
      <c r="CE4" s="145">
        <v>5</v>
      </c>
      <c r="CF4" s="145">
        <v>5</v>
      </c>
      <c r="CG4" s="145"/>
      <c r="CH4" s="145">
        <v>10</v>
      </c>
      <c r="CI4" s="145">
        <v>10</v>
      </c>
      <c r="CJ4" s="145">
        <v>5</v>
      </c>
      <c r="CK4" s="145">
        <v>5</v>
      </c>
      <c r="CL4" s="145">
        <v>10</v>
      </c>
      <c r="CM4" s="145"/>
      <c r="CN4" s="145">
        <v>10</v>
      </c>
      <c r="CO4" s="145">
        <v>10</v>
      </c>
      <c r="CP4" s="145">
        <v>5</v>
      </c>
      <c r="CQ4" s="145">
        <v>5</v>
      </c>
      <c r="CR4" s="145">
        <v>5</v>
      </c>
      <c r="CS4" s="145">
        <v>10</v>
      </c>
      <c r="CT4" s="145">
        <v>10</v>
      </c>
      <c r="CU4" s="145">
        <v>15</v>
      </c>
      <c r="CV4" s="145"/>
      <c r="CW4" s="145">
        <v>10</v>
      </c>
      <c r="CX4" s="145">
        <v>5</v>
      </c>
      <c r="CY4" s="145">
        <v>15</v>
      </c>
      <c r="CZ4" s="145">
        <v>15</v>
      </c>
      <c r="DA4" s="145"/>
      <c r="DB4" s="145">
        <v>5</v>
      </c>
      <c r="DC4" s="145"/>
      <c r="DD4" s="145">
        <v>10</v>
      </c>
      <c r="DE4" s="130">
        <v>5</v>
      </c>
      <c r="DF4" s="130"/>
      <c r="DG4" s="130"/>
      <c r="DH4" s="130">
        <v>10</v>
      </c>
      <c r="DI4" s="130">
        <v>5</v>
      </c>
      <c r="DJ4" s="130">
        <v>30</v>
      </c>
      <c r="DK4" s="130">
        <v>15</v>
      </c>
      <c r="DL4" s="130">
        <v>5</v>
      </c>
      <c r="DM4" s="130"/>
      <c r="DN4" s="130"/>
      <c r="DO4" s="130">
        <v>10</v>
      </c>
      <c r="DP4" s="131"/>
      <c r="DW4" s="131"/>
      <c r="DX4" s="131"/>
      <c r="DY4" s="131"/>
      <c r="DZ4" s="131"/>
    </row>
    <row r="5" spans="1:130" s="185" customFormat="1" outlineLevel="1">
      <c r="A5" s="641"/>
      <c r="B5" s="84"/>
      <c r="C5" s="84">
        <f t="shared" si="0"/>
        <v>0</v>
      </c>
      <c r="D5" s="84">
        <f t="shared" si="1"/>
        <v>0</v>
      </c>
      <c r="E5" s="84">
        <f t="shared" si="2"/>
        <v>10</v>
      </c>
      <c r="F5" s="641"/>
      <c r="G5" s="64" t="s">
        <v>97</v>
      </c>
      <c r="H5" s="129"/>
      <c r="I5" s="145"/>
      <c r="J5" s="145">
        <v>10</v>
      </c>
      <c r="K5" s="145">
        <v>5</v>
      </c>
      <c r="L5" s="145">
        <v>10</v>
      </c>
      <c r="M5" s="145">
        <v>10</v>
      </c>
      <c r="N5" s="145">
        <v>10</v>
      </c>
      <c r="O5" s="145">
        <v>15</v>
      </c>
      <c r="P5" s="145"/>
      <c r="Q5" s="145">
        <v>10</v>
      </c>
      <c r="R5" s="145">
        <v>10</v>
      </c>
      <c r="S5" s="145"/>
      <c r="T5" s="145">
        <v>10</v>
      </c>
      <c r="U5" s="145"/>
      <c r="V5" s="145">
        <v>20</v>
      </c>
      <c r="W5" s="145">
        <v>20</v>
      </c>
      <c r="X5" s="145">
        <v>25</v>
      </c>
      <c r="Y5" s="145">
        <v>15</v>
      </c>
      <c r="Z5" s="145">
        <v>5</v>
      </c>
      <c r="AA5" s="145">
        <v>10</v>
      </c>
      <c r="AB5" s="145">
        <v>5</v>
      </c>
      <c r="AC5" s="145"/>
      <c r="AD5" s="145">
        <v>20</v>
      </c>
      <c r="AE5" s="145">
        <v>20</v>
      </c>
      <c r="AF5" s="145">
        <v>15</v>
      </c>
      <c r="AG5" s="145">
        <v>20</v>
      </c>
      <c r="AH5" s="145">
        <v>10</v>
      </c>
      <c r="AI5" s="145"/>
      <c r="AJ5" s="145"/>
      <c r="AK5" s="145">
        <v>10</v>
      </c>
      <c r="AL5" s="145">
        <v>5</v>
      </c>
      <c r="AM5" s="145">
        <v>5</v>
      </c>
      <c r="AN5" s="145"/>
      <c r="AO5" s="145">
        <v>5</v>
      </c>
      <c r="AP5" s="145"/>
      <c r="AQ5" s="145">
        <v>10</v>
      </c>
      <c r="AR5" s="145">
        <v>5</v>
      </c>
      <c r="AS5" s="145">
        <v>20</v>
      </c>
      <c r="AT5" s="145"/>
      <c r="AU5" s="145">
        <v>5</v>
      </c>
      <c r="AV5" s="145"/>
      <c r="AW5" s="145">
        <v>5</v>
      </c>
      <c r="AX5" s="145"/>
      <c r="AY5" s="145">
        <v>10</v>
      </c>
      <c r="AZ5" s="145"/>
      <c r="BA5" s="145">
        <v>15</v>
      </c>
      <c r="BB5" s="145">
        <v>10</v>
      </c>
      <c r="BC5" s="145">
        <v>15</v>
      </c>
      <c r="BD5" s="145">
        <v>10</v>
      </c>
      <c r="BE5" s="145"/>
      <c r="BF5" s="145">
        <v>5</v>
      </c>
      <c r="BG5" s="145"/>
      <c r="BH5" s="145">
        <v>10</v>
      </c>
      <c r="BI5" s="145">
        <v>10</v>
      </c>
      <c r="BJ5" s="145">
        <v>15</v>
      </c>
      <c r="BK5" s="145">
        <v>5</v>
      </c>
      <c r="BL5" s="145"/>
      <c r="BM5" s="145">
        <v>5</v>
      </c>
      <c r="BN5" s="145">
        <v>5</v>
      </c>
      <c r="BO5" s="145">
        <v>10</v>
      </c>
      <c r="BP5" s="145">
        <v>10</v>
      </c>
      <c r="BQ5" s="145">
        <v>10</v>
      </c>
      <c r="BR5" s="145">
        <v>10</v>
      </c>
      <c r="BS5" s="145">
        <v>10</v>
      </c>
      <c r="BT5" s="145">
        <v>5</v>
      </c>
      <c r="BU5" s="145"/>
      <c r="BV5" s="145"/>
      <c r="BW5" s="145">
        <v>10</v>
      </c>
      <c r="BX5" s="145"/>
      <c r="BY5" s="145">
        <v>5</v>
      </c>
      <c r="BZ5" s="145">
        <v>5</v>
      </c>
      <c r="CA5" s="145">
        <v>5</v>
      </c>
      <c r="CB5" s="145">
        <v>5</v>
      </c>
      <c r="CC5" s="145">
        <v>5</v>
      </c>
      <c r="CD5" s="145">
        <v>10</v>
      </c>
      <c r="CE5" s="145">
        <v>5</v>
      </c>
      <c r="CF5" s="145">
        <v>5</v>
      </c>
      <c r="CG5" s="145"/>
      <c r="CH5" s="145">
        <v>15</v>
      </c>
      <c r="CI5" s="145">
        <v>5</v>
      </c>
      <c r="CJ5" s="145"/>
      <c r="CK5" s="145">
        <v>10</v>
      </c>
      <c r="CL5" s="145">
        <v>5</v>
      </c>
      <c r="CM5" s="145"/>
      <c r="CN5" s="145">
        <v>10</v>
      </c>
      <c r="CO5" s="145">
        <v>10</v>
      </c>
      <c r="CP5" s="145">
        <v>10</v>
      </c>
      <c r="CQ5" s="145">
        <v>5</v>
      </c>
      <c r="CR5" s="145">
        <v>10</v>
      </c>
      <c r="CS5" s="145">
        <v>10</v>
      </c>
      <c r="CT5" s="145">
        <v>10</v>
      </c>
      <c r="CU5" s="145">
        <v>10</v>
      </c>
      <c r="CV5" s="145">
        <v>5</v>
      </c>
      <c r="CW5" s="145">
        <v>5</v>
      </c>
      <c r="CX5" s="145"/>
      <c r="CY5" s="145">
        <v>15</v>
      </c>
      <c r="CZ5" s="145">
        <v>15</v>
      </c>
      <c r="DA5" s="145"/>
      <c r="DB5" s="145">
        <v>15</v>
      </c>
      <c r="DC5" s="145">
        <v>5</v>
      </c>
      <c r="DD5" s="145">
        <v>10</v>
      </c>
      <c r="DE5" s="130"/>
      <c r="DF5" s="130"/>
      <c r="DG5" s="130">
        <v>5</v>
      </c>
      <c r="DH5" s="130"/>
      <c r="DI5" s="130"/>
      <c r="DJ5" s="130">
        <v>30</v>
      </c>
      <c r="DK5" s="130">
        <v>15</v>
      </c>
      <c r="DL5" s="130">
        <v>5</v>
      </c>
      <c r="DM5" s="130"/>
      <c r="DN5" s="130"/>
      <c r="DO5" s="130">
        <v>10</v>
      </c>
      <c r="DP5" s="131"/>
      <c r="DW5" s="131"/>
      <c r="DX5" s="131"/>
      <c r="DY5" s="131"/>
      <c r="DZ5" s="131"/>
    </row>
    <row r="6" spans="1:130" s="185" customFormat="1" outlineLevel="1">
      <c r="A6" s="641"/>
      <c r="B6" s="84"/>
      <c r="C6" s="84">
        <f t="shared" si="0"/>
        <v>10</v>
      </c>
      <c r="D6" s="84">
        <f t="shared" si="1"/>
        <v>10</v>
      </c>
      <c r="E6" s="84">
        <f t="shared" si="2"/>
        <v>5</v>
      </c>
      <c r="F6" s="641"/>
      <c r="G6" s="64" t="s">
        <v>97</v>
      </c>
      <c r="H6" s="129">
        <v>5</v>
      </c>
      <c r="I6" s="145">
        <v>5</v>
      </c>
      <c r="J6" s="145">
        <v>10</v>
      </c>
      <c r="K6" s="145">
        <v>10</v>
      </c>
      <c r="L6" s="145">
        <v>30</v>
      </c>
      <c r="M6" s="145">
        <v>20</v>
      </c>
      <c r="N6" s="145">
        <v>30</v>
      </c>
      <c r="O6" s="145">
        <v>20</v>
      </c>
      <c r="P6" s="145">
        <v>10</v>
      </c>
      <c r="Q6" s="145">
        <v>5</v>
      </c>
      <c r="R6" s="145"/>
      <c r="S6" s="145">
        <v>5</v>
      </c>
      <c r="T6" s="145">
        <v>10</v>
      </c>
      <c r="U6" s="145">
        <v>5</v>
      </c>
      <c r="V6" s="145">
        <v>20</v>
      </c>
      <c r="W6" s="145">
        <v>20</v>
      </c>
      <c r="X6" s="145">
        <v>30</v>
      </c>
      <c r="Y6" s="145">
        <v>20</v>
      </c>
      <c r="Z6" s="145">
        <v>5</v>
      </c>
      <c r="AA6" s="145">
        <v>15</v>
      </c>
      <c r="AB6" s="145">
        <v>10</v>
      </c>
      <c r="AC6" s="145">
        <v>10</v>
      </c>
      <c r="AD6" s="145">
        <v>15</v>
      </c>
      <c r="AE6" s="145">
        <v>10</v>
      </c>
      <c r="AF6" s="145">
        <v>15</v>
      </c>
      <c r="AG6" s="145">
        <v>20</v>
      </c>
      <c r="AH6" s="145">
        <v>5</v>
      </c>
      <c r="AI6" s="145">
        <v>10</v>
      </c>
      <c r="AJ6" s="145">
        <v>10</v>
      </c>
      <c r="AK6" s="145">
        <v>5</v>
      </c>
      <c r="AL6" s="145">
        <v>10</v>
      </c>
      <c r="AM6" s="145">
        <v>10</v>
      </c>
      <c r="AN6" s="145">
        <v>10</v>
      </c>
      <c r="AO6" s="145"/>
      <c r="AP6" s="145">
        <v>10</v>
      </c>
      <c r="AQ6" s="145">
        <v>15</v>
      </c>
      <c r="AR6" s="145">
        <v>10</v>
      </c>
      <c r="AS6" s="145">
        <v>20</v>
      </c>
      <c r="AT6" s="145">
        <v>10</v>
      </c>
      <c r="AU6" s="145">
        <v>5</v>
      </c>
      <c r="AV6" s="145">
        <v>5</v>
      </c>
      <c r="AW6" s="145">
        <v>10</v>
      </c>
      <c r="AX6" s="145">
        <v>10</v>
      </c>
      <c r="AY6" s="145">
        <v>20</v>
      </c>
      <c r="AZ6" s="145">
        <v>10</v>
      </c>
      <c r="BA6" s="145">
        <v>15</v>
      </c>
      <c r="BB6" s="145"/>
      <c r="BC6" s="145">
        <v>5</v>
      </c>
      <c r="BD6" s="145">
        <v>25</v>
      </c>
      <c r="BE6" s="145">
        <v>5</v>
      </c>
      <c r="BF6" s="145">
        <v>5</v>
      </c>
      <c r="BG6" s="145">
        <v>10</v>
      </c>
      <c r="BH6" s="145"/>
      <c r="BI6" s="145">
        <v>10</v>
      </c>
      <c r="BJ6" s="145">
        <v>15</v>
      </c>
      <c r="BK6" s="145">
        <v>15</v>
      </c>
      <c r="BL6" s="145">
        <v>10</v>
      </c>
      <c r="BM6" s="145">
        <v>10</v>
      </c>
      <c r="BN6" s="145"/>
      <c r="BO6" s="145"/>
      <c r="BP6" s="145"/>
      <c r="BQ6" s="145">
        <v>15</v>
      </c>
      <c r="BR6" s="145">
        <v>15</v>
      </c>
      <c r="BS6" s="145">
        <v>20</v>
      </c>
      <c r="BT6" s="145">
        <v>10</v>
      </c>
      <c r="BU6" s="145">
        <v>10</v>
      </c>
      <c r="BV6" s="145">
        <v>5</v>
      </c>
      <c r="BW6" s="145">
        <v>15</v>
      </c>
      <c r="BX6" s="145">
        <v>15</v>
      </c>
      <c r="BY6" s="145">
        <v>10</v>
      </c>
      <c r="BZ6" s="145">
        <v>5</v>
      </c>
      <c r="CA6" s="145">
        <v>10</v>
      </c>
      <c r="CB6" s="145">
        <v>10</v>
      </c>
      <c r="CC6" s="145"/>
      <c r="CD6" s="145"/>
      <c r="CE6" s="145">
        <v>25</v>
      </c>
      <c r="CF6" s="145">
        <v>10</v>
      </c>
      <c r="CG6" s="145">
        <v>5</v>
      </c>
      <c r="CH6" s="145">
        <v>10</v>
      </c>
      <c r="CI6" s="145">
        <v>5</v>
      </c>
      <c r="CJ6" s="145">
        <v>10</v>
      </c>
      <c r="CK6" s="145">
        <v>5</v>
      </c>
      <c r="CL6" s="145">
        <v>10</v>
      </c>
      <c r="CM6" s="145">
        <v>10</v>
      </c>
      <c r="CN6" s="145">
        <v>15</v>
      </c>
      <c r="CO6" s="145">
        <v>15</v>
      </c>
      <c r="CP6" s="145"/>
      <c r="CQ6" s="145">
        <v>10</v>
      </c>
      <c r="CR6" s="145">
        <v>5</v>
      </c>
      <c r="CS6" s="145">
        <v>10</v>
      </c>
      <c r="CT6" s="145">
        <v>40</v>
      </c>
      <c r="CU6" s="145">
        <v>10</v>
      </c>
      <c r="CV6" s="145">
        <v>10</v>
      </c>
      <c r="CW6" s="145">
        <v>10</v>
      </c>
      <c r="CX6" s="145"/>
      <c r="CY6" s="145">
        <v>15</v>
      </c>
      <c r="CZ6" s="145">
        <v>25</v>
      </c>
      <c r="DA6" s="145">
        <v>10</v>
      </c>
      <c r="DB6" s="145">
        <v>20</v>
      </c>
      <c r="DC6" s="145">
        <v>10</v>
      </c>
      <c r="DD6" s="145">
        <v>10</v>
      </c>
      <c r="DE6" s="130">
        <v>10</v>
      </c>
      <c r="DF6" s="130">
        <v>10</v>
      </c>
      <c r="DG6" s="130">
        <v>5</v>
      </c>
      <c r="DH6" s="130">
        <v>10</v>
      </c>
      <c r="DI6" s="130">
        <v>10</v>
      </c>
      <c r="DJ6" s="130">
        <v>20</v>
      </c>
      <c r="DK6" s="130">
        <v>10</v>
      </c>
      <c r="DL6" s="130">
        <v>5</v>
      </c>
      <c r="DM6" s="130">
        <v>10</v>
      </c>
      <c r="DN6" s="130">
        <v>10</v>
      </c>
      <c r="DO6" s="130">
        <v>15</v>
      </c>
      <c r="DP6" s="131">
        <v>15</v>
      </c>
      <c r="DW6" s="131"/>
      <c r="DX6" s="131"/>
      <c r="DY6" s="131"/>
      <c r="DZ6" s="131"/>
    </row>
    <row r="7" spans="1:130" s="185" customFormat="1" outlineLevel="1">
      <c r="A7" s="641"/>
      <c r="B7" s="84"/>
      <c r="C7" s="84">
        <f t="shared" si="0"/>
        <v>0</v>
      </c>
      <c r="D7" s="84">
        <f t="shared" si="1"/>
        <v>10</v>
      </c>
      <c r="E7" s="84">
        <f t="shared" si="2"/>
        <v>0</v>
      </c>
      <c r="F7" s="641"/>
      <c r="G7" s="64" t="s">
        <v>97</v>
      </c>
      <c r="H7" s="129">
        <v>10</v>
      </c>
      <c r="I7" s="145">
        <v>10</v>
      </c>
      <c r="J7" s="145">
        <v>20</v>
      </c>
      <c r="K7" s="145">
        <v>5</v>
      </c>
      <c r="L7" s="145">
        <v>20</v>
      </c>
      <c r="M7" s="145">
        <v>10</v>
      </c>
      <c r="N7" s="145">
        <v>20</v>
      </c>
      <c r="O7" s="145">
        <v>25</v>
      </c>
      <c r="P7" s="145"/>
      <c r="Q7" s="145"/>
      <c r="R7" s="145"/>
      <c r="S7" s="145">
        <v>10</v>
      </c>
      <c r="T7" s="145">
        <v>10</v>
      </c>
      <c r="U7" s="145"/>
      <c r="V7" s="145">
        <v>15</v>
      </c>
      <c r="W7" s="145">
        <v>20</v>
      </c>
      <c r="X7" s="145"/>
      <c r="Y7" s="145">
        <v>10</v>
      </c>
      <c r="Z7" s="145">
        <v>5</v>
      </c>
      <c r="AA7" s="145">
        <v>15</v>
      </c>
      <c r="AB7" s="145">
        <v>5</v>
      </c>
      <c r="AC7" s="145"/>
      <c r="AD7" s="145">
        <v>15</v>
      </c>
      <c r="AE7" s="145">
        <v>10</v>
      </c>
      <c r="AF7" s="145">
        <v>5</v>
      </c>
      <c r="AG7" s="145">
        <v>15</v>
      </c>
      <c r="AH7" s="145"/>
      <c r="AI7" s="145">
        <v>10</v>
      </c>
      <c r="AJ7" s="145">
        <v>5</v>
      </c>
      <c r="AK7" s="145"/>
      <c r="AL7" s="145"/>
      <c r="AM7" s="145">
        <v>20</v>
      </c>
      <c r="AN7" s="145">
        <v>10</v>
      </c>
      <c r="AO7" s="145"/>
      <c r="AP7" s="145">
        <v>20</v>
      </c>
      <c r="AQ7" s="145">
        <v>20</v>
      </c>
      <c r="AR7" s="145">
        <v>5</v>
      </c>
      <c r="AS7" s="145">
        <v>15</v>
      </c>
      <c r="AT7" s="145">
        <v>10</v>
      </c>
      <c r="AU7" s="145"/>
      <c r="AV7" s="145">
        <v>10</v>
      </c>
      <c r="AW7" s="145">
        <v>30</v>
      </c>
      <c r="AX7" s="145">
        <v>5</v>
      </c>
      <c r="AY7" s="145">
        <v>20</v>
      </c>
      <c r="AZ7" s="145">
        <v>10</v>
      </c>
      <c r="BA7" s="145">
        <v>25</v>
      </c>
      <c r="BB7" s="145"/>
      <c r="BC7" s="145"/>
      <c r="BD7" s="145">
        <v>10</v>
      </c>
      <c r="BE7" s="145">
        <v>10</v>
      </c>
      <c r="BF7" s="145"/>
      <c r="BG7" s="145">
        <v>10</v>
      </c>
      <c r="BH7" s="145"/>
      <c r="BI7" s="145"/>
      <c r="BJ7" s="145">
        <v>20</v>
      </c>
      <c r="BK7" s="145">
        <v>15</v>
      </c>
      <c r="BL7" s="145">
        <v>5</v>
      </c>
      <c r="BM7" s="145">
        <v>20</v>
      </c>
      <c r="BN7" s="145">
        <v>10</v>
      </c>
      <c r="BO7" s="145">
        <v>30</v>
      </c>
      <c r="BP7" s="145"/>
      <c r="BQ7" s="145">
        <v>30</v>
      </c>
      <c r="BR7" s="145">
        <v>30</v>
      </c>
      <c r="BS7" s="145">
        <v>10</v>
      </c>
      <c r="BT7" s="145">
        <v>25</v>
      </c>
      <c r="BU7" s="145"/>
      <c r="BV7" s="145"/>
      <c r="BW7" s="145">
        <v>30</v>
      </c>
      <c r="BX7" s="145">
        <v>10</v>
      </c>
      <c r="BY7" s="145">
        <v>5</v>
      </c>
      <c r="BZ7" s="145"/>
      <c r="CA7" s="145">
        <v>5</v>
      </c>
      <c r="CB7" s="145"/>
      <c r="CC7" s="145">
        <v>5</v>
      </c>
      <c r="CD7" s="145">
        <v>15</v>
      </c>
      <c r="CE7" s="145">
        <v>10</v>
      </c>
      <c r="CF7" s="145">
        <v>25</v>
      </c>
      <c r="CG7" s="145">
        <v>5</v>
      </c>
      <c r="CH7" s="145">
        <v>10</v>
      </c>
      <c r="CI7" s="145">
        <v>5</v>
      </c>
      <c r="CJ7" s="145">
        <v>5</v>
      </c>
      <c r="CK7" s="145"/>
      <c r="CL7" s="145">
        <v>5</v>
      </c>
      <c r="CM7" s="145">
        <v>10</v>
      </c>
      <c r="CN7" s="145">
        <v>20</v>
      </c>
      <c r="CO7" s="145"/>
      <c r="CP7" s="145">
        <v>20</v>
      </c>
      <c r="CQ7" s="145">
        <v>5</v>
      </c>
      <c r="CR7" s="145">
        <v>10</v>
      </c>
      <c r="CS7" s="145">
        <v>15</v>
      </c>
      <c r="CT7" s="145">
        <v>25</v>
      </c>
      <c r="CU7" s="145"/>
      <c r="CV7" s="145"/>
      <c r="CW7" s="145">
        <v>5</v>
      </c>
      <c r="CX7" s="145">
        <v>10</v>
      </c>
      <c r="CY7" s="145">
        <v>15</v>
      </c>
      <c r="CZ7" s="145">
        <v>20</v>
      </c>
      <c r="DA7" s="145">
        <v>10</v>
      </c>
      <c r="DB7" s="145">
        <v>35</v>
      </c>
      <c r="DC7" s="145"/>
      <c r="DD7" s="145">
        <v>10</v>
      </c>
      <c r="DE7" s="130">
        <v>5</v>
      </c>
      <c r="DF7" s="130"/>
      <c r="DG7" s="130">
        <v>5</v>
      </c>
      <c r="DH7" s="130"/>
      <c r="DI7" s="130"/>
      <c r="DJ7" s="130"/>
      <c r="DK7" s="130"/>
      <c r="DL7" s="130"/>
      <c r="DM7" s="130">
        <v>5</v>
      </c>
      <c r="DN7" s="130">
        <v>10</v>
      </c>
      <c r="DO7" s="130"/>
      <c r="DP7" s="131">
        <v>5</v>
      </c>
      <c r="DW7" s="131"/>
      <c r="DX7" s="131"/>
      <c r="DY7" s="131"/>
      <c r="DZ7" s="131"/>
    </row>
    <row r="8" spans="1:130" s="185" customFormat="1" outlineLevel="1">
      <c r="A8" s="641"/>
      <c r="B8" s="84"/>
      <c r="C8" s="84">
        <f t="shared" si="0"/>
        <v>0</v>
      </c>
      <c r="D8" s="84">
        <f t="shared" si="1"/>
        <v>5</v>
      </c>
      <c r="E8" s="84">
        <f t="shared" si="2"/>
        <v>5</v>
      </c>
      <c r="F8" s="641"/>
      <c r="G8" s="64" t="s">
        <v>97</v>
      </c>
      <c r="H8" s="129"/>
      <c r="I8" s="145">
        <v>15</v>
      </c>
      <c r="J8" s="145">
        <v>20</v>
      </c>
      <c r="K8" s="145">
        <v>10</v>
      </c>
      <c r="L8" s="145">
        <v>10</v>
      </c>
      <c r="M8" s="145">
        <v>10</v>
      </c>
      <c r="N8" s="145">
        <v>15</v>
      </c>
      <c r="O8" s="145">
        <v>20</v>
      </c>
      <c r="P8" s="145"/>
      <c r="Q8" s="145"/>
      <c r="R8" s="145">
        <v>10</v>
      </c>
      <c r="S8" s="145">
        <v>5</v>
      </c>
      <c r="T8" s="145">
        <v>20</v>
      </c>
      <c r="U8" s="145">
        <v>10</v>
      </c>
      <c r="V8" s="145">
        <v>15</v>
      </c>
      <c r="W8" s="145">
        <v>25</v>
      </c>
      <c r="X8" s="145">
        <v>20</v>
      </c>
      <c r="Y8" s="145">
        <v>15</v>
      </c>
      <c r="Z8" s="145">
        <v>5</v>
      </c>
      <c r="AA8" s="145">
        <v>15</v>
      </c>
      <c r="AB8" s="145"/>
      <c r="AC8" s="145">
        <v>5</v>
      </c>
      <c r="AD8" s="145">
        <v>20</v>
      </c>
      <c r="AE8" s="145">
        <v>10</v>
      </c>
      <c r="AF8" s="145">
        <v>15</v>
      </c>
      <c r="AG8" s="145">
        <v>25</v>
      </c>
      <c r="AH8" s="145">
        <v>5</v>
      </c>
      <c r="AI8" s="145">
        <v>10</v>
      </c>
      <c r="AJ8" s="145">
        <v>5</v>
      </c>
      <c r="AK8" s="145">
        <v>5</v>
      </c>
      <c r="AL8" s="145">
        <v>5</v>
      </c>
      <c r="AM8" s="145">
        <v>25</v>
      </c>
      <c r="AN8" s="145"/>
      <c r="AO8" s="145">
        <v>5</v>
      </c>
      <c r="AP8" s="145">
        <v>20</v>
      </c>
      <c r="AQ8" s="145">
        <v>15</v>
      </c>
      <c r="AR8" s="145"/>
      <c r="AS8" s="145">
        <v>15</v>
      </c>
      <c r="AT8" s="145">
        <v>5</v>
      </c>
      <c r="AU8" s="145"/>
      <c r="AV8" s="145">
        <v>5</v>
      </c>
      <c r="AW8" s="145">
        <v>15</v>
      </c>
      <c r="AX8" s="145">
        <v>5</v>
      </c>
      <c r="AY8" s="145">
        <v>35</v>
      </c>
      <c r="AZ8" s="145">
        <v>5</v>
      </c>
      <c r="BA8" s="145">
        <v>20</v>
      </c>
      <c r="BB8" s="145">
        <v>10</v>
      </c>
      <c r="BC8" s="145">
        <v>20</v>
      </c>
      <c r="BD8" s="145">
        <v>20</v>
      </c>
      <c r="BE8" s="145"/>
      <c r="BF8" s="145"/>
      <c r="BG8" s="145">
        <v>5</v>
      </c>
      <c r="BH8" s="145">
        <v>5</v>
      </c>
      <c r="BI8" s="145">
        <v>10</v>
      </c>
      <c r="BJ8" s="145">
        <v>30</v>
      </c>
      <c r="BK8" s="145">
        <v>10</v>
      </c>
      <c r="BL8" s="145"/>
      <c r="BM8" s="145">
        <v>10</v>
      </c>
      <c r="BN8" s="145">
        <v>10</v>
      </c>
      <c r="BO8" s="145">
        <v>20</v>
      </c>
      <c r="BP8" s="145">
        <v>10</v>
      </c>
      <c r="BQ8" s="145">
        <v>20</v>
      </c>
      <c r="BR8" s="145">
        <v>35</v>
      </c>
      <c r="BS8" s="145">
        <v>10</v>
      </c>
      <c r="BT8" s="145">
        <v>20</v>
      </c>
      <c r="BU8" s="145"/>
      <c r="BV8" s="145">
        <v>5</v>
      </c>
      <c r="BW8" s="145">
        <v>20</v>
      </c>
      <c r="BX8" s="145">
        <v>5</v>
      </c>
      <c r="BY8" s="145">
        <v>5</v>
      </c>
      <c r="BZ8" s="145">
        <v>5</v>
      </c>
      <c r="CA8" s="145">
        <v>5</v>
      </c>
      <c r="CB8" s="145"/>
      <c r="CC8" s="145">
        <v>5</v>
      </c>
      <c r="CD8" s="145">
        <v>15</v>
      </c>
      <c r="CE8" s="145">
        <v>10</v>
      </c>
      <c r="CF8" s="145">
        <v>10</v>
      </c>
      <c r="CG8" s="145">
        <v>5</v>
      </c>
      <c r="CH8" s="145">
        <v>10</v>
      </c>
      <c r="CI8" s="145"/>
      <c r="CJ8" s="145">
        <v>5</v>
      </c>
      <c r="CK8" s="145">
        <v>5</v>
      </c>
      <c r="CL8" s="145"/>
      <c r="CM8" s="145">
        <v>10</v>
      </c>
      <c r="CN8" s="145">
        <v>15</v>
      </c>
      <c r="CO8" s="145">
        <v>15</v>
      </c>
      <c r="CP8" s="145">
        <v>10</v>
      </c>
      <c r="CQ8" s="145">
        <v>5</v>
      </c>
      <c r="CR8" s="145">
        <v>20</v>
      </c>
      <c r="CS8" s="145">
        <v>25</v>
      </c>
      <c r="CT8" s="145">
        <v>20</v>
      </c>
      <c r="CU8" s="145">
        <v>15</v>
      </c>
      <c r="CV8" s="145">
        <v>10</v>
      </c>
      <c r="CW8" s="145">
        <v>10</v>
      </c>
      <c r="CX8" s="145">
        <v>5</v>
      </c>
      <c r="CY8" s="145">
        <v>35</v>
      </c>
      <c r="CZ8" s="145">
        <v>20</v>
      </c>
      <c r="DA8" s="145">
        <v>10</v>
      </c>
      <c r="DB8" s="145">
        <v>40</v>
      </c>
      <c r="DC8" s="145">
        <v>10</v>
      </c>
      <c r="DD8" s="145">
        <v>10</v>
      </c>
      <c r="DE8" s="130">
        <v>10</v>
      </c>
      <c r="DF8" s="130">
        <v>5</v>
      </c>
      <c r="DG8" s="130">
        <v>10</v>
      </c>
      <c r="DH8" s="130">
        <v>10</v>
      </c>
      <c r="DI8" s="130">
        <v>10</v>
      </c>
      <c r="DJ8" s="130">
        <v>30</v>
      </c>
      <c r="DK8" s="130">
        <v>20</v>
      </c>
      <c r="DL8" s="130">
        <v>10</v>
      </c>
      <c r="DM8" s="130"/>
      <c r="DN8" s="130">
        <v>5</v>
      </c>
      <c r="DO8" s="130">
        <v>15</v>
      </c>
      <c r="DP8" s="131"/>
      <c r="DW8" s="131"/>
      <c r="DX8" s="131"/>
      <c r="DY8" s="131"/>
      <c r="DZ8" s="131"/>
    </row>
    <row r="9" spans="1:130" s="185" customFormat="1" outlineLevel="1">
      <c r="A9" s="641"/>
      <c r="B9" s="84"/>
      <c r="C9" s="84">
        <f t="shared" si="0"/>
        <v>0</v>
      </c>
      <c r="D9" s="84">
        <f t="shared" si="1"/>
        <v>10</v>
      </c>
      <c r="E9" s="84">
        <f t="shared" si="2"/>
        <v>5</v>
      </c>
      <c r="F9" s="641"/>
      <c r="G9" s="64" t="s">
        <v>97</v>
      </c>
      <c r="H9" s="129">
        <v>10</v>
      </c>
      <c r="I9" s="145">
        <v>5</v>
      </c>
      <c r="J9" s="145">
        <v>30</v>
      </c>
      <c r="K9" s="145"/>
      <c r="L9" s="145">
        <v>20</v>
      </c>
      <c r="M9" s="145">
        <v>20</v>
      </c>
      <c r="N9" s="145">
        <v>25</v>
      </c>
      <c r="O9" s="145">
        <v>30</v>
      </c>
      <c r="P9" s="145"/>
      <c r="Q9" s="145"/>
      <c r="R9" s="145"/>
      <c r="S9" s="145">
        <v>5</v>
      </c>
      <c r="T9" s="145">
        <v>15</v>
      </c>
      <c r="U9" s="145"/>
      <c r="V9" s="145">
        <v>25</v>
      </c>
      <c r="W9" s="145">
        <v>30</v>
      </c>
      <c r="X9" s="145"/>
      <c r="Y9" s="145"/>
      <c r="Z9" s="145">
        <v>5</v>
      </c>
      <c r="AA9" s="145">
        <v>25</v>
      </c>
      <c r="AB9" s="145"/>
      <c r="AC9" s="145">
        <v>5</v>
      </c>
      <c r="AD9" s="145"/>
      <c r="AE9" s="145">
        <v>20</v>
      </c>
      <c r="AF9" s="145">
        <v>5</v>
      </c>
      <c r="AG9" s="145">
        <v>15</v>
      </c>
      <c r="AH9" s="145">
        <v>5</v>
      </c>
      <c r="AI9" s="145">
        <v>5</v>
      </c>
      <c r="AJ9" s="145"/>
      <c r="AK9" s="145"/>
      <c r="AL9" s="145"/>
      <c r="AM9" s="145">
        <v>10</v>
      </c>
      <c r="AN9" s="145">
        <v>10</v>
      </c>
      <c r="AO9" s="145">
        <v>5</v>
      </c>
      <c r="AP9" s="145">
        <v>20</v>
      </c>
      <c r="AQ9" s="145">
        <v>30</v>
      </c>
      <c r="AR9" s="145"/>
      <c r="AS9" s="145">
        <v>10</v>
      </c>
      <c r="AT9" s="145"/>
      <c r="AU9" s="145">
        <v>5</v>
      </c>
      <c r="AV9" s="145">
        <v>10</v>
      </c>
      <c r="AW9" s="145">
        <v>15</v>
      </c>
      <c r="AX9" s="145">
        <v>10</v>
      </c>
      <c r="AY9" s="145">
        <v>20</v>
      </c>
      <c r="AZ9" s="145">
        <v>10</v>
      </c>
      <c r="BA9" s="145">
        <v>15</v>
      </c>
      <c r="BB9" s="145">
        <v>5</v>
      </c>
      <c r="BC9" s="145">
        <v>10</v>
      </c>
      <c r="BD9" s="145">
        <v>15</v>
      </c>
      <c r="BE9" s="145">
        <v>5</v>
      </c>
      <c r="BF9" s="145"/>
      <c r="BG9" s="145"/>
      <c r="BH9" s="145"/>
      <c r="BI9" s="145"/>
      <c r="BJ9" s="145">
        <v>15</v>
      </c>
      <c r="BK9" s="145">
        <v>20</v>
      </c>
      <c r="BL9" s="145"/>
      <c r="BM9" s="145"/>
      <c r="BN9" s="145">
        <v>10</v>
      </c>
      <c r="BO9" s="145">
        <v>25</v>
      </c>
      <c r="BP9" s="145"/>
      <c r="BQ9" s="145">
        <v>35</v>
      </c>
      <c r="BR9" s="145">
        <v>15</v>
      </c>
      <c r="BS9" s="145">
        <v>10</v>
      </c>
      <c r="BT9" s="145">
        <v>20</v>
      </c>
      <c r="BU9" s="145"/>
      <c r="BV9" s="145"/>
      <c r="BW9" s="145">
        <v>15</v>
      </c>
      <c r="BX9" s="145">
        <v>25</v>
      </c>
      <c r="BY9" s="145">
        <v>10</v>
      </c>
      <c r="BZ9" s="145"/>
      <c r="CA9" s="145"/>
      <c r="CB9" s="145"/>
      <c r="CC9" s="145"/>
      <c r="CD9" s="145">
        <v>15</v>
      </c>
      <c r="CE9" s="145"/>
      <c r="CF9" s="145">
        <v>5</v>
      </c>
      <c r="CG9" s="145">
        <v>10</v>
      </c>
      <c r="CH9" s="145">
        <v>10</v>
      </c>
      <c r="CI9" s="145"/>
      <c r="CJ9" s="145"/>
      <c r="CK9" s="145"/>
      <c r="CL9" s="145"/>
      <c r="CM9" s="145">
        <v>5</v>
      </c>
      <c r="CN9" s="145"/>
      <c r="CO9" s="145">
        <v>15</v>
      </c>
      <c r="CP9" s="145">
        <v>20</v>
      </c>
      <c r="CQ9" s="145"/>
      <c r="CR9" s="145">
        <v>15</v>
      </c>
      <c r="CS9" s="145">
        <v>20</v>
      </c>
      <c r="CT9" s="145">
        <v>25</v>
      </c>
      <c r="CU9" s="145">
        <v>10</v>
      </c>
      <c r="CV9" s="145"/>
      <c r="CW9" s="145">
        <v>10</v>
      </c>
      <c r="CX9" s="145">
        <v>10</v>
      </c>
      <c r="CY9" s="145">
        <v>20</v>
      </c>
      <c r="CZ9" s="145"/>
      <c r="DA9" s="145">
        <v>5</v>
      </c>
      <c r="DB9" s="145">
        <v>20</v>
      </c>
      <c r="DC9" s="145"/>
      <c r="DD9" s="145">
        <v>20</v>
      </c>
      <c r="DE9" s="130">
        <v>5</v>
      </c>
      <c r="DF9" s="130"/>
      <c r="DG9" s="130">
        <v>10</v>
      </c>
      <c r="DH9" s="130"/>
      <c r="DI9" s="130"/>
      <c r="DJ9" s="130"/>
      <c r="DK9" s="130"/>
      <c r="DL9" s="130"/>
      <c r="DM9" s="130">
        <v>5</v>
      </c>
      <c r="DN9" s="130">
        <v>10</v>
      </c>
      <c r="DO9" s="130"/>
      <c r="DP9" s="131">
        <v>10</v>
      </c>
      <c r="DW9" s="131"/>
      <c r="DX9" s="131"/>
      <c r="DY9" s="131"/>
      <c r="DZ9" s="131"/>
    </row>
    <row r="10" spans="1:130" s="185" customFormat="1" outlineLevel="1">
      <c r="A10" s="641"/>
      <c r="B10" s="84"/>
      <c r="C10" s="84">
        <f t="shared" si="0"/>
        <v>1</v>
      </c>
      <c r="D10" s="84">
        <f t="shared" si="1"/>
        <v>0</v>
      </c>
      <c r="E10" s="84">
        <f t="shared" si="2"/>
        <v>0</v>
      </c>
      <c r="F10" s="641"/>
      <c r="G10" s="64" t="s">
        <v>97</v>
      </c>
      <c r="H10" s="129"/>
      <c r="I10" s="145"/>
      <c r="J10" s="145">
        <v>1</v>
      </c>
      <c r="K10" s="145"/>
      <c r="L10" s="145">
        <v>2</v>
      </c>
      <c r="M10" s="145"/>
      <c r="N10" s="145">
        <v>1</v>
      </c>
      <c r="O10" s="145">
        <v>1</v>
      </c>
      <c r="P10" s="145"/>
      <c r="Q10" s="145"/>
      <c r="R10" s="145"/>
      <c r="S10" s="145"/>
      <c r="T10" s="145"/>
      <c r="U10" s="145"/>
      <c r="V10" s="145">
        <v>2</v>
      </c>
      <c r="W10" s="145">
        <v>2</v>
      </c>
      <c r="X10" s="145">
        <v>2</v>
      </c>
      <c r="Y10" s="145">
        <v>2</v>
      </c>
      <c r="Z10" s="145"/>
      <c r="AA10" s="145"/>
      <c r="AB10" s="145"/>
      <c r="AC10" s="145"/>
      <c r="AD10" s="145">
        <v>1</v>
      </c>
      <c r="AE10" s="145">
        <v>2</v>
      </c>
      <c r="AF10" s="145">
        <v>1</v>
      </c>
      <c r="AG10" s="145">
        <v>2</v>
      </c>
      <c r="AH10" s="145"/>
      <c r="AI10" s="145"/>
      <c r="AJ10" s="145"/>
      <c r="AK10" s="145"/>
      <c r="AL10" s="145">
        <v>1</v>
      </c>
      <c r="AM10" s="145"/>
      <c r="AN10" s="145"/>
      <c r="AO10" s="145">
        <v>1</v>
      </c>
      <c r="AP10" s="145"/>
      <c r="AQ10" s="145">
        <v>1</v>
      </c>
      <c r="AR10" s="145">
        <v>1</v>
      </c>
      <c r="AS10" s="145">
        <v>1</v>
      </c>
      <c r="AT10" s="145"/>
      <c r="AU10" s="145">
        <v>1</v>
      </c>
      <c r="AV10" s="145"/>
      <c r="AW10" s="145"/>
      <c r="AX10" s="145"/>
      <c r="AY10" s="145">
        <v>1</v>
      </c>
      <c r="AZ10" s="145"/>
      <c r="BA10" s="145">
        <v>1</v>
      </c>
      <c r="BB10" s="145"/>
      <c r="BC10" s="145">
        <v>1</v>
      </c>
      <c r="BD10" s="145">
        <v>1</v>
      </c>
      <c r="BE10" s="145"/>
      <c r="BF10" s="145">
        <v>1</v>
      </c>
      <c r="BG10" s="145"/>
      <c r="BH10" s="145"/>
      <c r="BI10" s="145"/>
      <c r="BJ10" s="145">
        <v>1</v>
      </c>
      <c r="BK10" s="145"/>
      <c r="BL10" s="145">
        <v>1</v>
      </c>
      <c r="BM10" s="145"/>
      <c r="BN10" s="145"/>
      <c r="BO10" s="145"/>
      <c r="BP10" s="145"/>
      <c r="BQ10" s="145">
        <v>1</v>
      </c>
      <c r="BR10" s="145"/>
      <c r="BS10" s="145"/>
      <c r="BT10" s="145"/>
      <c r="BU10" s="145">
        <v>1</v>
      </c>
      <c r="BV10" s="145">
        <v>1</v>
      </c>
      <c r="BW10" s="145"/>
      <c r="BX10" s="145"/>
      <c r="BY10" s="145"/>
      <c r="BZ10" s="145">
        <v>1</v>
      </c>
      <c r="CA10" s="145"/>
      <c r="CB10" s="145"/>
      <c r="CC10" s="145"/>
      <c r="CD10" s="145"/>
      <c r="CE10" s="145"/>
      <c r="CF10" s="145"/>
      <c r="CG10" s="145"/>
      <c r="CH10" s="145">
        <v>1</v>
      </c>
      <c r="CI10" s="145"/>
      <c r="CJ10" s="145"/>
      <c r="CK10" s="145"/>
      <c r="CL10" s="145"/>
      <c r="CM10" s="145"/>
      <c r="CN10" s="145">
        <v>1</v>
      </c>
      <c r="CO10" s="145">
        <v>1</v>
      </c>
      <c r="CP10" s="145"/>
      <c r="CQ10" s="145"/>
      <c r="CR10" s="145"/>
      <c r="CS10" s="145">
        <v>1</v>
      </c>
      <c r="CT10" s="145">
        <v>1</v>
      </c>
      <c r="CU10" s="145">
        <v>1</v>
      </c>
      <c r="CV10" s="145"/>
      <c r="CW10" s="145">
        <v>1</v>
      </c>
      <c r="CX10" s="145"/>
      <c r="CY10" s="145">
        <v>2</v>
      </c>
      <c r="CZ10" s="145">
        <v>2</v>
      </c>
      <c r="DA10" s="145"/>
      <c r="DB10" s="145"/>
      <c r="DC10" s="145"/>
      <c r="DD10" s="145">
        <v>1</v>
      </c>
      <c r="DE10" s="130"/>
      <c r="DF10" s="130">
        <v>1</v>
      </c>
      <c r="DG10" s="130"/>
      <c r="DH10" s="130">
        <v>1</v>
      </c>
      <c r="DI10" s="130"/>
      <c r="DJ10" s="130">
        <v>2</v>
      </c>
      <c r="DK10" s="130">
        <v>1</v>
      </c>
      <c r="DL10" s="130">
        <v>1</v>
      </c>
      <c r="DM10" s="130"/>
      <c r="DN10" s="130"/>
      <c r="DO10" s="130">
        <v>1</v>
      </c>
      <c r="DP10" s="131"/>
      <c r="DW10" s="131"/>
      <c r="DX10" s="131"/>
      <c r="DY10" s="131"/>
      <c r="DZ10" s="131"/>
    </row>
    <row r="11" spans="1:130" s="185" customFormat="1" outlineLevel="1">
      <c r="A11" s="641"/>
      <c r="B11" s="84"/>
      <c r="C11" s="84">
        <f t="shared" si="0"/>
        <v>2</v>
      </c>
      <c r="D11" s="84">
        <f t="shared" si="1"/>
        <v>2</v>
      </c>
      <c r="E11" s="84">
        <f t="shared" si="2"/>
        <v>2</v>
      </c>
      <c r="F11" s="641"/>
      <c r="G11" s="64" t="s">
        <v>97</v>
      </c>
      <c r="H11" s="129">
        <v>2</v>
      </c>
      <c r="I11" s="145">
        <v>2</v>
      </c>
      <c r="J11" s="145">
        <v>6</v>
      </c>
      <c r="K11" s="145">
        <v>2</v>
      </c>
      <c r="L11" s="145">
        <v>4</v>
      </c>
      <c r="M11" s="145">
        <v>4</v>
      </c>
      <c r="N11" s="145">
        <v>4</v>
      </c>
      <c r="O11" s="145">
        <v>6</v>
      </c>
      <c r="P11" s="145">
        <v>2</v>
      </c>
      <c r="Q11" s="145">
        <v>2</v>
      </c>
      <c r="R11" s="145">
        <v>2</v>
      </c>
      <c r="S11" s="145">
        <v>2</v>
      </c>
      <c r="T11" s="145">
        <v>4</v>
      </c>
      <c r="U11" s="145">
        <v>3</v>
      </c>
      <c r="V11" s="145">
        <v>7</v>
      </c>
      <c r="W11" s="145">
        <v>6</v>
      </c>
      <c r="X11" s="145">
        <v>8</v>
      </c>
      <c r="Y11" s="145">
        <v>6</v>
      </c>
      <c r="Z11" s="145">
        <v>2</v>
      </c>
      <c r="AA11" s="145">
        <v>4</v>
      </c>
      <c r="AB11" s="145">
        <v>3</v>
      </c>
      <c r="AC11" s="145">
        <v>2</v>
      </c>
      <c r="AD11" s="145">
        <v>4</v>
      </c>
      <c r="AE11" s="145">
        <v>6</v>
      </c>
      <c r="AF11" s="145">
        <v>4</v>
      </c>
      <c r="AG11" s="145">
        <v>8</v>
      </c>
      <c r="AH11" s="145">
        <v>2</v>
      </c>
      <c r="AI11" s="145">
        <v>2</v>
      </c>
      <c r="AJ11" s="145">
        <v>2</v>
      </c>
      <c r="AK11" s="145">
        <v>2</v>
      </c>
      <c r="AL11" s="145">
        <v>2</v>
      </c>
      <c r="AM11" s="145">
        <v>4</v>
      </c>
      <c r="AN11" s="145">
        <v>2</v>
      </c>
      <c r="AO11" s="145">
        <v>2</v>
      </c>
      <c r="AP11" s="145">
        <v>4</v>
      </c>
      <c r="AQ11" s="145">
        <v>4</v>
      </c>
      <c r="AR11" s="145">
        <v>2</v>
      </c>
      <c r="AS11" s="145">
        <v>4</v>
      </c>
      <c r="AT11" s="145">
        <v>2</v>
      </c>
      <c r="AU11" s="145">
        <v>2</v>
      </c>
      <c r="AV11" s="145">
        <v>2</v>
      </c>
      <c r="AW11" s="145">
        <v>4</v>
      </c>
      <c r="AX11" s="145">
        <v>2</v>
      </c>
      <c r="AY11" s="145">
        <v>4</v>
      </c>
      <c r="AZ11" s="145">
        <v>2</v>
      </c>
      <c r="BA11" s="145">
        <v>6</v>
      </c>
      <c r="BB11" s="145">
        <v>2</v>
      </c>
      <c r="BC11" s="145">
        <v>6</v>
      </c>
      <c r="BD11" s="145">
        <v>4</v>
      </c>
      <c r="BE11" s="145">
        <v>2</v>
      </c>
      <c r="BF11" s="145">
        <v>3</v>
      </c>
      <c r="BG11" s="145">
        <v>2</v>
      </c>
      <c r="BH11" s="145">
        <v>3</v>
      </c>
      <c r="BI11" s="145">
        <v>2</v>
      </c>
      <c r="BJ11" s="145">
        <v>6</v>
      </c>
      <c r="BK11" s="145">
        <v>4</v>
      </c>
      <c r="BL11" s="145">
        <v>2</v>
      </c>
      <c r="BM11" s="145">
        <v>4</v>
      </c>
      <c r="BN11" s="145">
        <v>2</v>
      </c>
      <c r="BO11" s="145">
        <v>4</v>
      </c>
      <c r="BP11" s="145">
        <v>2</v>
      </c>
      <c r="BQ11" s="145">
        <v>5</v>
      </c>
      <c r="BR11" s="145">
        <v>4</v>
      </c>
      <c r="BS11" s="145">
        <v>3</v>
      </c>
      <c r="BT11" s="145">
        <v>4</v>
      </c>
      <c r="BU11" s="145">
        <v>2</v>
      </c>
      <c r="BV11" s="145">
        <v>3</v>
      </c>
      <c r="BW11" s="145">
        <v>4</v>
      </c>
      <c r="BX11" s="145">
        <v>4</v>
      </c>
      <c r="BY11" s="145">
        <v>2</v>
      </c>
      <c r="BZ11" s="145">
        <v>2</v>
      </c>
      <c r="CA11" s="145">
        <v>2</v>
      </c>
      <c r="CB11" s="145">
        <v>2</v>
      </c>
      <c r="CC11" s="145">
        <v>2</v>
      </c>
      <c r="CD11" s="145">
        <v>4</v>
      </c>
      <c r="CE11" s="145">
        <v>4</v>
      </c>
      <c r="CF11" s="145">
        <v>4</v>
      </c>
      <c r="CG11" s="145">
        <v>2</v>
      </c>
      <c r="CH11" s="145">
        <v>4</v>
      </c>
      <c r="CI11" s="145">
        <v>2</v>
      </c>
      <c r="CJ11" s="145">
        <v>2</v>
      </c>
      <c r="CK11" s="145">
        <v>2</v>
      </c>
      <c r="CL11" s="145">
        <v>2</v>
      </c>
      <c r="CM11" s="145">
        <v>2</v>
      </c>
      <c r="CN11" s="145">
        <v>6</v>
      </c>
      <c r="CO11" s="145">
        <v>4</v>
      </c>
      <c r="CP11" s="145">
        <v>4</v>
      </c>
      <c r="CQ11" s="145">
        <v>2</v>
      </c>
      <c r="CR11" s="145">
        <v>4</v>
      </c>
      <c r="CS11" s="145">
        <v>5</v>
      </c>
      <c r="CT11" s="145">
        <v>6</v>
      </c>
      <c r="CU11" s="145">
        <v>5</v>
      </c>
      <c r="CV11" s="145">
        <v>2</v>
      </c>
      <c r="CW11" s="145">
        <v>4</v>
      </c>
      <c r="CX11" s="145">
        <v>2</v>
      </c>
      <c r="CY11" s="145">
        <v>6</v>
      </c>
      <c r="CZ11" s="145">
        <v>6</v>
      </c>
      <c r="DA11" s="145">
        <v>2</v>
      </c>
      <c r="DB11" s="145">
        <v>5</v>
      </c>
      <c r="DC11" s="145">
        <v>2</v>
      </c>
      <c r="DD11" s="145">
        <v>4</v>
      </c>
      <c r="DE11" s="130">
        <v>2</v>
      </c>
      <c r="DF11" s="130">
        <v>2</v>
      </c>
      <c r="DG11" s="130">
        <v>2</v>
      </c>
      <c r="DH11" s="130">
        <v>2</v>
      </c>
      <c r="DI11" s="130">
        <v>2</v>
      </c>
      <c r="DJ11" s="130">
        <v>8</v>
      </c>
      <c r="DK11" s="130">
        <v>6</v>
      </c>
      <c r="DL11" s="130">
        <v>3</v>
      </c>
      <c r="DM11" s="130">
        <v>2</v>
      </c>
      <c r="DN11" s="130">
        <v>2</v>
      </c>
      <c r="DO11" s="130">
        <v>6</v>
      </c>
      <c r="DP11" s="131">
        <v>2</v>
      </c>
      <c r="DW11" s="131"/>
      <c r="DX11" s="131"/>
      <c r="DY11" s="131"/>
      <c r="DZ11" s="131"/>
    </row>
    <row r="12" spans="1:130" s="185" customFormat="1" outlineLevel="1">
      <c r="A12" s="641"/>
      <c r="B12" s="84"/>
      <c r="C12" s="84">
        <f t="shared" si="0"/>
        <v>0</v>
      </c>
      <c r="D12" s="84">
        <f t="shared" si="1"/>
        <v>0</v>
      </c>
      <c r="E12" s="84">
        <f t="shared" si="2"/>
        <v>0</v>
      </c>
      <c r="F12" s="641"/>
      <c r="G12" s="64" t="s">
        <v>97</v>
      </c>
      <c r="H12" s="129"/>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145"/>
      <c r="BR12" s="145"/>
      <c r="BS12" s="145"/>
      <c r="BT12" s="145"/>
      <c r="BU12" s="145"/>
      <c r="BV12" s="145"/>
      <c r="BW12" s="145"/>
      <c r="BX12" s="145"/>
      <c r="BY12" s="145"/>
      <c r="BZ12" s="145"/>
      <c r="CA12" s="145"/>
      <c r="CB12" s="145"/>
      <c r="CC12" s="145"/>
      <c r="CD12" s="145"/>
      <c r="CE12" s="145"/>
      <c r="CF12" s="145"/>
      <c r="CG12" s="145"/>
      <c r="CH12" s="145"/>
      <c r="CI12" s="145"/>
      <c r="CJ12" s="145"/>
      <c r="CK12" s="145"/>
      <c r="CL12" s="145"/>
      <c r="CM12" s="145"/>
      <c r="CN12" s="145"/>
      <c r="CO12" s="145"/>
      <c r="CP12" s="145"/>
      <c r="CQ12" s="145">
        <v>1</v>
      </c>
      <c r="CR12" s="145"/>
      <c r="CS12" s="145"/>
      <c r="CT12" s="145"/>
      <c r="CU12" s="145"/>
      <c r="CV12" s="145"/>
      <c r="CW12" s="145"/>
      <c r="CX12" s="145"/>
      <c r="CY12" s="145"/>
      <c r="CZ12" s="145"/>
      <c r="DA12" s="145"/>
      <c r="DB12" s="145"/>
      <c r="DC12" s="145"/>
      <c r="DD12" s="145"/>
      <c r="DE12" s="130"/>
      <c r="DF12" s="130"/>
      <c r="DG12" s="130"/>
      <c r="DH12" s="130"/>
      <c r="DI12" s="130"/>
      <c r="DJ12" s="130"/>
      <c r="DK12" s="130"/>
      <c r="DL12" s="130"/>
      <c r="DM12" s="130"/>
      <c r="DN12" s="130"/>
      <c r="DO12" s="130"/>
      <c r="DP12" s="131"/>
      <c r="DW12" s="131"/>
      <c r="DX12" s="131"/>
      <c r="DY12" s="131"/>
      <c r="DZ12" s="131"/>
    </row>
    <row r="13" spans="1:130" s="186" customFormat="1" ht="15.75" outlineLevel="1" thickBot="1">
      <c r="A13" s="642"/>
      <c r="B13" s="85"/>
      <c r="C13" s="85">
        <f t="shared" si="0"/>
        <v>0</v>
      </c>
      <c r="D13" s="85">
        <f t="shared" si="1"/>
        <v>0</v>
      </c>
      <c r="E13" s="85">
        <f t="shared" si="2"/>
        <v>0</v>
      </c>
      <c r="F13" s="642"/>
      <c r="G13" s="91" t="s">
        <v>97</v>
      </c>
      <c r="H13" s="213"/>
      <c r="I13" s="214">
        <v>1</v>
      </c>
      <c r="J13" s="214"/>
      <c r="K13" s="214"/>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v>2</v>
      </c>
      <c r="AN13" s="214"/>
      <c r="AO13" s="214"/>
      <c r="AP13" s="214"/>
      <c r="AQ13" s="214"/>
      <c r="AR13" s="214"/>
      <c r="AS13" s="214"/>
      <c r="AT13" s="214"/>
      <c r="AU13" s="214"/>
      <c r="AV13" s="214"/>
      <c r="AW13" s="214"/>
      <c r="AX13" s="214"/>
      <c r="AY13" s="214"/>
      <c r="AZ13" s="214"/>
      <c r="BA13" s="214"/>
      <c r="BB13" s="214"/>
      <c r="BC13" s="214"/>
      <c r="BD13" s="214"/>
      <c r="BE13" s="214"/>
      <c r="BF13" s="214"/>
      <c r="BG13" s="214"/>
      <c r="BH13" s="214"/>
      <c r="BI13" s="214"/>
      <c r="BJ13" s="214">
        <v>3</v>
      </c>
      <c r="BK13" s="214"/>
      <c r="BL13" s="214"/>
      <c r="BM13" s="214"/>
      <c r="BN13" s="214"/>
      <c r="BO13" s="214"/>
      <c r="BP13" s="214"/>
      <c r="BQ13" s="214"/>
      <c r="BR13" s="214">
        <v>3</v>
      </c>
      <c r="BS13" s="214"/>
      <c r="BT13" s="214"/>
      <c r="BU13" s="214"/>
      <c r="BV13" s="214"/>
      <c r="BW13" s="214"/>
      <c r="BX13" s="214"/>
      <c r="BY13" s="214"/>
      <c r="BZ13" s="214"/>
      <c r="CA13" s="214"/>
      <c r="CB13" s="214"/>
      <c r="CC13" s="214"/>
      <c r="CD13" s="214"/>
      <c r="CE13" s="214"/>
      <c r="CF13" s="214"/>
      <c r="CG13" s="214"/>
      <c r="CH13" s="214"/>
      <c r="CI13" s="214"/>
      <c r="CJ13" s="214"/>
      <c r="CK13" s="214"/>
      <c r="CL13" s="214"/>
      <c r="CM13" s="214"/>
      <c r="CN13" s="214"/>
      <c r="CO13" s="214"/>
      <c r="CP13" s="214"/>
      <c r="CQ13" s="214"/>
      <c r="CR13" s="214">
        <v>1</v>
      </c>
      <c r="CS13" s="214">
        <v>2</v>
      </c>
      <c r="CT13" s="214"/>
      <c r="CU13" s="214"/>
      <c r="CV13" s="214"/>
      <c r="CW13" s="214"/>
      <c r="CX13" s="214"/>
      <c r="CY13" s="214"/>
      <c r="CZ13" s="214"/>
      <c r="DA13" s="214"/>
      <c r="DB13" s="214">
        <v>4</v>
      </c>
      <c r="DC13" s="214"/>
      <c r="DD13" s="214"/>
      <c r="DE13" s="215"/>
      <c r="DF13" s="215"/>
      <c r="DG13" s="215">
        <v>1</v>
      </c>
      <c r="DH13" s="215"/>
      <c r="DI13" s="215"/>
      <c r="DJ13" s="215"/>
      <c r="DK13" s="215"/>
      <c r="DL13" s="215"/>
      <c r="DM13" s="215"/>
      <c r="DN13" s="215"/>
      <c r="DO13" s="215"/>
      <c r="DP13" s="216"/>
      <c r="DW13" s="216"/>
      <c r="DX13" s="216"/>
      <c r="DY13" s="216"/>
      <c r="DZ13" s="216"/>
    </row>
    <row r="14" spans="1:130" s="184" customFormat="1" outlineLevel="1">
      <c r="A14" s="660" t="s">
        <v>800</v>
      </c>
      <c r="B14" s="86" t="str">
        <f t="shared" ref="B14:B45" si="3">LOOKUP(Race,$DW$1:$DZ$1,DW14:DZ14)</f>
        <v>Commérages</v>
      </c>
      <c r="C14" s="86" t="str">
        <f t="shared" si="0"/>
        <v>Canotage</v>
      </c>
      <c r="D14" s="86" t="str">
        <f t="shared" ref="D14:D45" si="4">IF(NbCarriere&gt;1,LOOKUP(Carriere2,$G$1:$DP$1,$G14:$DP14)," ")</f>
        <v>Commérages</v>
      </c>
      <c r="E14" s="83" t="str">
        <f t="shared" ref="E14:E45" si="5">IF(NbCarriere&gt;2,LOOKUP(Carriere3,$G$1:$DP$1,$G14:$DP14)," ")</f>
        <v>Charisme</v>
      </c>
      <c r="F14" s="637" t="s">
        <v>800</v>
      </c>
      <c r="G14" s="161" t="s">
        <v>97</v>
      </c>
      <c r="H14" s="138" t="s">
        <v>463</v>
      </c>
      <c r="I14" s="138" t="s">
        <v>472</v>
      </c>
      <c r="J14" s="138" t="s">
        <v>463</v>
      </c>
      <c r="K14" s="138" t="s">
        <v>826</v>
      </c>
      <c r="L14" s="138" t="s">
        <v>826</v>
      </c>
      <c r="M14" s="138" t="s">
        <v>463</v>
      </c>
      <c r="N14" s="138" t="s">
        <v>463</v>
      </c>
      <c r="O14" s="138" t="s">
        <v>463</v>
      </c>
      <c r="P14" s="138" t="s">
        <v>463</v>
      </c>
      <c r="Q14" s="138" t="s">
        <v>462</v>
      </c>
      <c r="R14" s="138" t="s">
        <v>473</v>
      </c>
      <c r="S14" s="138" t="s">
        <v>826</v>
      </c>
      <c r="T14" s="138" t="s">
        <v>463</v>
      </c>
      <c r="U14" s="138" t="s">
        <v>467</v>
      </c>
      <c r="V14" s="138" t="s">
        <v>464</v>
      </c>
      <c r="W14" s="138" t="s">
        <v>464</v>
      </c>
      <c r="X14" s="138" t="s">
        <v>471</v>
      </c>
      <c r="Y14" s="138" t="s">
        <v>477</v>
      </c>
      <c r="Z14" s="138" t="s">
        <v>826</v>
      </c>
      <c r="AA14" s="138" t="s">
        <v>826</v>
      </c>
      <c r="AB14" s="138" t="s">
        <v>467</v>
      </c>
      <c r="AC14" s="138" t="s">
        <v>468</v>
      </c>
      <c r="AD14" s="138" t="s">
        <v>467</v>
      </c>
      <c r="AE14" s="138" t="s">
        <v>464</v>
      </c>
      <c r="AF14" s="138" t="s">
        <v>469</v>
      </c>
      <c r="AG14" s="138" t="s">
        <v>463</v>
      </c>
      <c r="AH14" s="138" t="s">
        <v>463</v>
      </c>
      <c r="AI14" s="138" t="s">
        <v>463</v>
      </c>
      <c r="AJ14" s="138" t="s">
        <v>826</v>
      </c>
      <c r="AK14" s="138" t="s">
        <v>826</v>
      </c>
      <c r="AL14" s="138" t="s">
        <v>470</v>
      </c>
      <c r="AM14" s="138" t="s">
        <v>463</v>
      </c>
      <c r="AN14" s="138" t="s">
        <v>462</v>
      </c>
      <c r="AO14" s="138" t="s">
        <v>473</v>
      </c>
      <c r="AP14" s="138" t="s">
        <v>463</v>
      </c>
      <c r="AQ14" s="138" t="s">
        <v>463</v>
      </c>
      <c r="AR14" s="138" t="s">
        <v>97</v>
      </c>
      <c r="AS14" s="138" t="s">
        <v>463</v>
      </c>
      <c r="AT14" s="138" t="s">
        <v>467</v>
      </c>
      <c r="AU14" s="138" t="s">
        <v>463</v>
      </c>
      <c r="AV14" s="138" t="s">
        <v>463</v>
      </c>
      <c r="AW14" s="138" t="s">
        <v>471</v>
      </c>
      <c r="AX14" s="138" t="s">
        <v>826</v>
      </c>
      <c r="AY14" s="138" t="s">
        <v>463</v>
      </c>
      <c r="AZ14" s="138" t="s">
        <v>463</v>
      </c>
      <c r="BA14" s="138" t="s">
        <v>464</v>
      </c>
      <c r="BB14" s="138" t="s">
        <v>463</v>
      </c>
      <c r="BC14" s="138" t="s">
        <v>463</v>
      </c>
      <c r="BD14" s="138" t="s">
        <v>826</v>
      </c>
      <c r="BE14" s="138" t="s">
        <v>826</v>
      </c>
      <c r="BF14" s="138" t="s">
        <v>473</v>
      </c>
      <c r="BG14" s="138" t="s">
        <v>467</v>
      </c>
      <c r="BH14" s="138" t="s">
        <v>464</v>
      </c>
      <c r="BI14" s="138" t="s">
        <v>473</v>
      </c>
      <c r="BJ14" s="138" t="s">
        <v>463</v>
      </c>
      <c r="BK14" s="138" t="s">
        <v>463</v>
      </c>
      <c r="BL14" s="138" t="s">
        <v>826</v>
      </c>
      <c r="BM14" s="138" t="s">
        <v>465</v>
      </c>
      <c r="BN14" s="138" t="s">
        <v>463</v>
      </c>
      <c r="BO14" s="138" t="s">
        <v>463</v>
      </c>
      <c r="BP14" s="138" t="s">
        <v>474</v>
      </c>
      <c r="BQ14" s="138" t="s">
        <v>463</v>
      </c>
      <c r="BR14" s="138" t="s">
        <v>463</v>
      </c>
      <c r="BS14" s="137" t="s">
        <v>826</v>
      </c>
      <c r="BT14" s="138" t="s">
        <v>463</v>
      </c>
      <c r="BU14" s="138" t="s">
        <v>462</v>
      </c>
      <c r="BV14" s="138" t="s">
        <v>462</v>
      </c>
      <c r="BW14" s="137" t="s">
        <v>826</v>
      </c>
      <c r="BX14" s="138" t="s">
        <v>463</v>
      </c>
      <c r="BY14" s="138" t="s">
        <v>463</v>
      </c>
      <c r="BZ14" s="138" t="s">
        <v>826</v>
      </c>
      <c r="CA14" s="138" t="s">
        <v>826</v>
      </c>
      <c r="CB14" s="138" t="s">
        <v>826</v>
      </c>
      <c r="CC14" s="138" t="s">
        <v>465</v>
      </c>
      <c r="CD14" s="138" t="s">
        <v>477</v>
      </c>
      <c r="CE14" s="138" t="s">
        <v>826</v>
      </c>
      <c r="CF14" s="138" t="s">
        <v>540</v>
      </c>
      <c r="CG14" s="138" t="s">
        <v>463</v>
      </c>
      <c r="CH14" s="138" t="s">
        <v>462</v>
      </c>
      <c r="CI14" s="138" t="s">
        <v>462</v>
      </c>
      <c r="CJ14" s="138" t="s">
        <v>826</v>
      </c>
      <c r="CK14" s="138" t="s">
        <v>462</v>
      </c>
      <c r="CL14" s="138" t="s">
        <v>462</v>
      </c>
      <c r="CM14" s="138" t="s">
        <v>471</v>
      </c>
      <c r="CN14" s="138" t="s">
        <v>467</v>
      </c>
      <c r="CO14" s="138" t="s">
        <v>826</v>
      </c>
      <c r="CP14" s="138" t="s">
        <v>463</v>
      </c>
      <c r="CQ14" s="138" t="s">
        <v>540</v>
      </c>
      <c r="CR14" s="138" t="s">
        <v>463</v>
      </c>
      <c r="CS14" s="138" t="s">
        <v>463</v>
      </c>
      <c r="CT14" s="138" t="s">
        <v>463</v>
      </c>
      <c r="CU14" s="138" t="s">
        <v>464</v>
      </c>
      <c r="CV14" s="138" t="s">
        <v>467</v>
      </c>
      <c r="CW14" s="138" t="s">
        <v>826</v>
      </c>
      <c r="CX14" s="138" t="s">
        <v>463</v>
      </c>
      <c r="CY14" s="138" t="s">
        <v>463</v>
      </c>
      <c r="CZ14" s="138" t="s">
        <v>467</v>
      </c>
      <c r="DA14" s="138" t="s">
        <v>826</v>
      </c>
      <c r="DB14" s="138" t="s">
        <v>463</v>
      </c>
      <c r="DC14" s="138" t="s">
        <v>467</v>
      </c>
      <c r="DD14" s="138" t="s">
        <v>464</v>
      </c>
      <c r="DE14" s="138" t="s">
        <v>826</v>
      </c>
      <c r="DF14" s="138" t="s">
        <v>826</v>
      </c>
      <c r="DG14" s="138" t="s">
        <v>463</v>
      </c>
      <c r="DH14" s="138" t="s">
        <v>826</v>
      </c>
      <c r="DI14" s="138" t="s">
        <v>826</v>
      </c>
      <c r="DJ14" s="138" t="s">
        <v>470</v>
      </c>
      <c r="DK14" s="138" t="s">
        <v>473</v>
      </c>
      <c r="DL14" s="138" t="s">
        <v>473</v>
      </c>
      <c r="DM14" s="138" t="s">
        <v>826</v>
      </c>
      <c r="DN14" s="138" t="s">
        <v>826</v>
      </c>
      <c r="DO14" s="138" t="s">
        <v>826</v>
      </c>
      <c r="DP14" s="138" t="s">
        <v>463</v>
      </c>
      <c r="DW14" s="138" t="s">
        <v>97</v>
      </c>
      <c r="DX14" s="138" t="s">
        <v>826</v>
      </c>
      <c r="DY14" s="138" t="s">
        <v>826</v>
      </c>
      <c r="DZ14" s="138" t="s">
        <v>97</v>
      </c>
    </row>
    <row r="15" spans="1:130" s="185" customFormat="1" outlineLevel="1">
      <c r="A15" s="661"/>
      <c r="B15" s="57" t="str">
        <f t="shared" si="3"/>
        <v xml:space="preserve"> </v>
      </c>
      <c r="C15" s="57" t="str">
        <f t="shared" si="0"/>
        <v>Escalade</v>
      </c>
      <c r="D15" s="57" t="str">
        <f t="shared" si="4"/>
        <v>Evaluation</v>
      </c>
      <c r="E15" s="84" t="str">
        <f t="shared" si="5"/>
        <v>Conduite d'attelage</v>
      </c>
      <c r="F15" s="638"/>
      <c r="G15" s="134" t="s">
        <v>97</v>
      </c>
      <c r="H15" s="137" t="s">
        <v>826</v>
      </c>
      <c r="I15" s="137" t="s">
        <v>477</v>
      </c>
      <c r="J15" s="137" t="s">
        <v>464</v>
      </c>
      <c r="K15" s="137" t="s">
        <v>465</v>
      </c>
      <c r="L15" s="137" t="s">
        <v>466</v>
      </c>
      <c r="M15" s="137" t="s">
        <v>826</v>
      </c>
      <c r="N15" s="137" t="s">
        <v>826</v>
      </c>
      <c r="O15" s="137" t="s">
        <v>464</v>
      </c>
      <c r="P15" s="137" t="s">
        <v>826</v>
      </c>
      <c r="Q15" s="137" t="s">
        <v>826</v>
      </c>
      <c r="R15" s="137" t="s">
        <v>540</v>
      </c>
      <c r="S15" s="137" t="s">
        <v>465</v>
      </c>
      <c r="T15" s="137" t="s">
        <v>473</v>
      </c>
      <c r="U15" s="137" t="s">
        <v>468</v>
      </c>
      <c r="V15" s="137" t="s">
        <v>826</v>
      </c>
      <c r="W15" s="137" t="s">
        <v>477</v>
      </c>
      <c r="X15" s="137" t="s">
        <v>473</v>
      </c>
      <c r="Y15" s="137" t="s">
        <v>97</v>
      </c>
      <c r="Z15" s="137" t="s">
        <v>470</v>
      </c>
      <c r="AA15" s="137" t="s">
        <v>466</v>
      </c>
      <c r="AB15" s="137" t="s">
        <v>472</v>
      </c>
      <c r="AC15" s="137" t="s">
        <v>472</v>
      </c>
      <c r="AD15" s="137" t="s">
        <v>468</v>
      </c>
      <c r="AE15" s="137" t="s">
        <v>467</v>
      </c>
      <c r="AF15" s="137" t="s">
        <v>477</v>
      </c>
      <c r="AG15" s="137" t="s">
        <v>464</v>
      </c>
      <c r="AH15" s="137" t="s">
        <v>465</v>
      </c>
      <c r="AI15" s="137" t="s">
        <v>465</v>
      </c>
      <c r="AJ15" s="137" t="s">
        <v>465</v>
      </c>
      <c r="AK15" s="137" t="s">
        <v>471</v>
      </c>
      <c r="AL15" s="137" t="s">
        <v>477</v>
      </c>
      <c r="AM15" s="137" t="s">
        <v>473</v>
      </c>
      <c r="AN15" s="137" t="s">
        <v>826</v>
      </c>
      <c r="AO15" s="137" t="s">
        <v>474</v>
      </c>
      <c r="AP15" s="137" t="s">
        <v>464</v>
      </c>
      <c r="AQ15" s="137" t="s">
        <v>464</v>
      </c>
      <c r="AR15" s="137" t="s">
        <v>97</v>
      </c>
      <c r="AS15" s="137" t="s">
        <v>826</v>
      </c>
      <c r="AT15" s="137" t="s">
        <v>469</v>
      </c>
      <c r="AU15" s="137" t="s">
        <v>826</v>
      </c>
      <c r="AV15" s="137" t="s">
        <v>826</v>
      </c>
      <c r="AW15" s="137" t="s">
        <v>477</v>
      </c>
      <c r="AX15" s="137" t="s">
        <v>463</v>
      </c>
      <c r="AY15" s="137" t="s">
        <v>826</v>
      </c>
      <c r="AZ15" s="137" t="s">
        <v>826</v>
      </c>
      <c r="BA15" s="137" t="s">
        <v>465</v>
      </c>
      <c r="BB15" s="137" t="s">
        <v>473</v>
      </c>
      <c r="BC15" s="137" t="s">
        <v>473</v>
      </c>
      <c r="BD15" s="137" t="s">
        <v>472</v>
      </c>
      <c r="BE15" s="137" t="s">
        <v>472</v>
      </c>
      <c r="BF15" s="137" t="s">
        <v>477</v>
      </c>
      <c r="BG15" s="137" t="s">
        <v>468</v>
      </c>
      <c r="BH15" s="137" t="s">
        <v>472</v>
      </c>
      <c r="BI15" s="137" t="s">
        <v>97</v>
      </c>
      <c r="BJ15" s="137" t="s">
        <v>826</v>
      </c>
      <c r="BK15" s="137" t="s">
        <v>826</v>
      </c>
      <c r="BL15" s="137" t="s">
        <v>465</v>
      </c>
      <c r="BM15" s="137" t="s">
        <v>469</v>
      </c>
      <c r="BN15" s="137" t="s">
        <v>477</v>
      </c>
      <c r="BO15" s="137" t="s">
        <v>464</v>
      </c>
      <c r="BP15" s="137" t="s">
        <v>826</v>
      </c>
      <c r="BQ15" s="137" t="s">
        <v>464</v>
      </c>
      <c r="BR15" s="137" t="s">
        <v>473</v>
      </c>
      <c r="BS15" s="137" t="s">
        <v>465</v>
      </c>
      <c r="BT15" s="137" t="s">
        <v>826</v>
      </c>
      <c r="BU15" s="137" t="s">
        <v>470</v>
      </c>
      <c r="BV15" s="137" t="s">
        <v>826</v>
      </c>
      <c r="BW15" s="137" t="s">
        <v>477</v>
      </c>
      <c r="BX15" s="137" t="s">
        <v>826</v>
      </c>
      <c r="BY15" s="137" t="s">
        <v>826</v>
      </c>
      <c r="BZ15" s="137" t="s">
        <v>465</v>
      </c>
      <c r="CA15" s="137" t="s">
        <v>469</v>
      </c>
      <c r="CB15" s="137" t="s">
        <v>465</v>
      </c>
      <c r="CC15" s="137" t="s">
        <v>468</v>
      </c>
      <c r="CD15" s="137" t="s">
        <v>479</v>
      </c>
      <c r="CE15" s="137" t="s">
        <v>467</v>
      </c>
      <c r="CF15" s="137" t="s">
        <v>477</v>
      </c>
      <c r="CG15" s="137" t="s">
        <v>464</v>
      </c>
      <c r="CH15" s="137" t="s">
        <v>464</v>
      </c>
      <c r="CI15" s="137" t="s">
        <v>463</v>
      </c>
      <c r="CJ15" s="137" t="s">
        <v>465</v>
      </c>
      <c r="CK15" s="137" t="s">
        <v>463</v>
      </c>
      <c r="CL15" s="137" t="s">
        <v>475</v>
      </c>
      <c r="CM15" s="137" t="s">
        <v>470</v>
      </c>
      <c r="CN15" s="137" t="s">
        <v>468</v>
      </c>
      <c r="CO15" s="137" t="s">
        <v>471</v>
      </c>
      <c r="CP15" s="137" t="s">
        <v>826</v>
      </c>
      <c r="CQ15" s="137" t="s">
        <v>477</v>
      </c>
      <c r="CR15" s="137" t="s">
        <v>826</v>
      </c>
      <c r="CS15" s="137" t="s">
        <v>826</v>
      </c>
      <c r="CT15" s="137" t="s">
        <v>826</v>
      </c>
      <c r="CU15" s="137" t="s">
        <v>826</v>
      </c>
      <c r="CV15" s="137" t="s">
        <v>468</v>
      </c>
      <c r="CW15" s="137" t="s">
        <v>471</v>
      </c>
      <c r="CX15" s="137" t="s">
        <v>464</v>
      </c>
      <c r="CY15" s="137" t="s">
        <v>464</v>
      </c>
      <c r="CZ15" s="137" t="s">
        <v>468</v>
      </c>
      <c r="DA15" s="137" t="s">
        <v>477</v>
      </c>
      <c r="DB15" s="137" t="s">
        <v>473</v>
      </c>
      <c r="DC15" s="137" t="s">
        <v>468</v>
      </c>
      <c r="DD15" s="137" t="s">
        <v>826</v>
      </c>
      <c r="DE15" s="137" t="s">
        <v>465</v>
      </c>
      <c r="DF15" s="137" t="s">
        <v>465</v>
      </c>
      <c r="DG15" s="137" t="s">
        <v>472</v>
      </c>
      <c r="DH15" s="137" t="s">
        <v>469</v>
      </c>
      <c r="DI15" s="137" t="s">
        <v>465</v>
      </c>
      <c r="DJ15" s="137" t="s">
        <v>473</v>
      </c>
      <c r="DK15" s="137" t="s">
        <v>477</v>
      </c>
      <c r="DL15" s="137" t="s">
        <v>97</v>
      </c>
      <c r="DM15" s="137" t="s">
        <v>467</v>
      </c>
      <c r="DN15" s="137" t="s">
        <v>471</v>
      </c>
      <c r="DO15" s="137" t="s">
        <v>473</v>
      </c>
      <c r="DP15" s="137" t="s">
        <v>466</v>
      </c>
      <c r="DW15" s="137" t="s">
        <v>97</v>
      </c>
      <c r="DX15" s="137" t="s">
        <v>97</v>
      </c>
      <c r="DY15" s="137" t="s">
        <v>97</v>
      </c>
      <c r="DZ15" s="137" t="s">
        <v>97</v>
      </c>
    </row>
    <row r="16" spans="1:130" s="185" customFormat="1" outlineLevel="1">
      <c r="A16" s="661"/>
      <c r="B16" s="57" t="str">
        <f t="shared" si="3"/>
        <v xml:space="preserve"> </v>
      </c>
      <c r="C16" s="57" t="str">
        <f t="shared" si="0"/>
        <v>Natation</v>
      </c>
      <c r="D16" s="57" t="str">
        <f t="shared" si="4"/>
        <v>Fouille</v>
      </c>
      <c r="E16" s="84" t="str">
        <f t="shared" si="5"/>
        <v>Evaluation</v>
      </c>
      <c r="F16" s="638"/>
      <c r="G16" s="134" t="s">
        <v>97</v>
      </c>
      <c r="H16" s="137" t="s">
        <v>468</v>
      </c>
      <c r="I16" s="137" t="s">
        <v>97</v>
      </c>
      <c r="J16" s="137" t="s">
        <v>826</v>
      </c>
      <c r="K16" s="137" t="s">
        <v>471</v>
      </c>
      <c r="L16" s="137" t="s">
        <v>467</v>
      </c>
      <c r="M16" s="137" t="s">
        <v>471</v>
      </c>
      <c r="N16" s="137" t="s">
        <v>467</v>
      </c>
      <c r="O16" s="137" t="s">
        <v>826</v>
      </c>
      <c r="P16" s="137" t="s">
        <v>540</v>
      </c>
      <c r="Q16" s="137" t="s">
        <v>540</v>
      </c>
      <c r="R16" s="137" t="s">
        <v>478</v>
      </c>
      <c r="S16" s="137" t="s">
        <v>471</v>
      </c>
      <c r="T16" s="137" t="s">
        <v>477</v>
      </c>
      <c r="U16" s="137" t="s">
        <v>470</v>
      </c>
      <c r="V16" s="137" t="s">
        <v>469</v>
      </c>
      <c r="W16" s="137" t="s">
        <v>540</v>
      </c>
      <c r="X16" s="137" t="s">
        <v>477</v>
      </c>
      <c r="Y16" s="137" t="s">
        <v>97</v>
      </c>
      <c r="Z16" s="137" t="s">
        <v>472</v>
      </c>
      <c r="AA16" s="137" t="s">
        <v>471</v>
      </c>
      <c r="AB16" s="137" t="s">
        <v>473</v>
      </c>
      <c r="AC16" s="137" t="s">
        <v>477</v>
      </c>
      <c r="AD16" s="137" t="s">
        <v>470</v>
      </c>
      <c r="AE16" s="137" t="s">
        <v>468</v>
      </c>
      <c r="AF16" s="137" t="s">
        <v>97</v>
      </c>
      <c r="AG16" s="137" t="s">
        <v>469</v>
      </c>
      <c r="AH16" s="137" t="s">
        <v>471</v>
      </c>
      <c r="AI16" s="137" t="s">
        <v>76</v>
      </c>
      <c r="AJ16" s="137" t="s">
        <v>469</v>
      </c>
      <c r="AK16" s="137" t="s">
        <v>472</v>
      </c>
      <c r="AL16" s="137" t="s">
        <v>97</v>
      </c>
      <c r="AM16" s="137" t="s">
        <v>826</v>
      </c>
      <c r="AN16" s="137" t="s">
        <v>465</v>
      </c>
      <c r="AO16" s="137" t="s">
        <v>478</v>
      </c>
      <c r="AP16" s="137" t="s">
        <v>826</v>
      </c>
      <c r="AQ16" s="137" t="s">
        <v>826</v>
      </c>
      <c r="AR16" s="137" t="s">
        <v>97</v>
      </c>
      <c r="AS16" s="137" t="s">
        <v>473</v>
      </c>
      <c r="AT16" s="137" t="s">
        <v>472</v>
      </c>
      <c r="AU16" s="137" t="s">
        <v>469</v>
      </c>
      <c r="AV16" s="137" t="s">
        <v>471</v>
      </c>
      <c r="AW16" s="137" t="s">
        <v>97</v>
      </c>
      <c r="AX16" s="137" t="s">
        <v>471</v>
      </c>
      <c r="AY16" s="137" t="s">
        <v>466</v>
      </c>
      <c r="AZ16" s="137" t="s">
        <v>472</v>
      </c>
      <c r="BA16" s="137" t="s">
        <v>469</v>
      </c>
      <c r="BB16" s="137" t="s">
        <v>97</v>
      </c>
      <c r="BC16" s="137" t="s">
        <v>97</v>
      </c>
      <c r="BD16" s="137" t="s">
        <v>477</v>
      </c>
      <c r="BE16" s="137" t="s">
        <v>473</v>
      </c>
      <c r="BF16" s="137" t="s">
        <v>97</v>
      </c>
      <c r="BG16" s="137" t="s">
        <v>470</v>
      </c>
      <c r="BH16" s="137" t="s">
        <v>473</v>
      </c>
      <c r="BI16" s="137" t="s">
        <v>97</v>
      </c>
      <c r="BJ16" s="137" t="s">
        <v>469</v>
      </c>
      <c r="BK16" s="137" t="s">
        <v>469</v>
      </c>
      <c r="BL16" s="137" t="s">
        <v>467</v>
      </c>
      <c r="BM16" s="137" t="s">
        <v>477</v>
      </c>
      <c r="BN16" s="137" t="s">
        <v>97</v>
      </c>
      <c r="BO16" s="137" t="s">
        <v>826</v>
      </c>
      <c r="BP16" s="137" t="s">
        <v>472</v>
      </c>
      <c r="BQ16" s="137" t="s">
        <v>826</v>
      </c>
      <c r="BR16" s="137" t="s">
        <v>826</v>
      </c>
      <c r="BS16" s="137" t="s">
        <v>471</v>
      </c>
      <c r="BT16" s="137" t="s">
        <v>465</v>
      </c>
      <c r="BU16" s="137" t="s">
        <v>540</v>
      </c>
      <c r="BV16" s="137" t="s">
        <v>473</v>
      </c>
      <c r="BW16" s="137" t="s">
        <v>97</v>
      </c>
      <c r="BX16" s="137" t="s">
        <v>477</v>
      </c>
      <c r="BY16" s="137" t="s">
        <v>465</v>
      </c>
      <c r="BZ16" s="137" t="s">
        <v>469</v>
      </c>
      <c r="CA16" s="137" t="s">
        <v>540</v>
      </c>
      <c r="CB16" s="137" t="s">
        <v>472</v>
      </c>
      <c r="CC16" s="137" t="s">
        <v>470</v>
      </c>
      <c r="CD16" s="137" t="s">
        <v>480</v>
      </c>
      <c r="CE16" s="137" t="s">
        <v>468</v>
      </c>
      <c r="CF16" s="137" t="s">
        <v>97</v>
      </c>
      <c r="CG16" s="137" t="s">
        <v>826</v>
      </c>
      <c r="CH16" s="137" t="s">
        <v>826</v>
      </c>
      <c r="CI16" s="137" t="s">
        <v>826</v>
      </c>
      <c r="CJ16" s="137" t="s">
        <v>469</v>
      </c>
      <c r="CK16" s="137" t="s">
        <v>465</v>
      </c>
      <c r="CL16" s="137" t="s">
        <v>477</v>
      </c>
      <c r="CM16" s="137" t="s">
        <v>467</v>
      </c>
      <c r="CN16" s="137" t="s">
        <v>469</v>
      </c>
      <c r="CO16" s="137" t="s">
        <v>469</v>
      </c>
      <c r="CP16" s="137" t="s">
        <v>464</v>
      </c>
      <c r="CQ16" s="137" t="s">
        <v>480</v>
      </c>
      <c r="CR16" s="137" t="s">
        <v>469</v>
      </c>
      <c r="CS16" s="137" t="s">
        <v>469</v>
      </c>
      <c r="CT16" s="137" t="s">
        <v>466</v>
      </c>
      <c r="CU16" s="137" t="s">
        <v>471</v>
      </c>
      <c r="CV16" s="137" t="s">
        <v>472</v>
      </c>
      <c r="CW16" s="137" t="s">
        <v>473</v>
      </c>
      <c r="CX16" s="137" t="s">
        <v>826</v>
      </c>
      <c r="CY16" s="137" t="s">
        <v>467</v>
      </c>
      <c r="CZ16" s="137" t="s">
        <v>473</v>
      </c>
      <c r="DA16" s="137" t="s">
        <v>97</v>
      </c>
      <c r="DB16" s="137" t="s">
        <v>97</v>
      </c>
      <c r="DC16" s="137" t="s">
        <v>477</v>
      </c>
      <c r="DD16" s="137" t="s">
        <v>469</v>
      </c>
      <c r="DE16" s="137" t="s">
        <v>471</v>
      </c>
      <c r="DF16" s="137" t="s">
        <v>469</v>
      </c>
      <c r="DG16" s="137" t="s">
        <v>473</v>
      </c>
      <c r="DH16" s="137" t="s">
        <v>473</v>
      </c>
      <c r="DI16" s="137" t="s">
        <v>467</v>
      </c>
      <c r="DJ16" s="137" t="s">
        <v>478</v>
      </c>
      <c r="DK16" s="137" t="s">
        <v>478</v>
      </c>
      <c r="DL16" s="137" t="s">
        <v>97</v>
      </c>
      <c r="DM16" s="137" t="s">
        <v>475</v>
      </c>
      <c r="DN16" s="137" t="s">
        <v>472</v>
      </c>
      <c r="DO16" s="137" t="s">
        <v>474</v>
      </c>
      <c r="DP16" s="137" t="s">
        <v>467</v>
      </c>
      <c r="DW16" s="137" t="s">
        <v>97</v>
      </c>
      <c r="DX16" s="137" t="s">
        <v>97</v>
      </c>
      <c r="DY16" s="137" t="s">
        <v>97</v>
      </c>
      <c r="DZ16" s="137" t="s">
        <v>97</v>
      </c>
    </row>
    <row r="17" spans="1:130" s="185" customFormat="1" outlineLevel="1">
      <c r="A17" s="661"/>
      <c r="B17" s="57" t="str">
        <f t="shared" si="3"/>
        <v xml:space="preserve"> </v>
      </c>
      <c r="C17" s="57" t="str">
        <f t="shared" si="0"/>
        <v>Perception</v>
      </c>
      <c r="D17" s="57" t="str">
        <f t="shared" si="4"/>
        <v>Marchandage</v>
      </c>
      <c r="E17" s="84" t="str">
        <f t="shared" si="5"/>
        <v>Fouille</v>
      </c>
      <c r="F17" s="638"/>
      <c r="G17" s="134" t="s">
        <v>97</v>
      </c>
      <c r="H17" s="137" t="s">
        <v>477</v>
      </c>
      <c r="I17" s="137" t="s">
        <v>97</v>
      </c>
      <c r="J17" s="137" t="s">
        <v>469</v>
      </c>
      <c r="K17" s="137" t="s">
        <v>475</v>
      </c>
      <c r="L17" s="137" t="s">
        <v>468</v>
      </c>
      <c r="M17" s="137" t="s">
        <v>475</v>
      </c>
      <c r="N17" s="137" t="s">
        <v>469</v>
      </c>
      <c r="O17" s="137" t="s">
        <v>471</v>
      </c>
      <c r="P17" s="137" t="s">
        <v>477</v>
      </c>
      <c r="Q17" s="137" t="s">
        <v>477</v>
      </c>
      <c r="R17" s="137" t="s">
        <v>97</v>
      </c>
      <c r="S17" s="137" t="s">
        <v>472</v>
      </c>
      <c r="T17" s="137" t="s">
        <v>97</v>
      </c>
      <c r="U17" s="137" t="s">
        <v>477</v>
      </c>
      <c r="V17" s="137" t="s">
        <v>479</v>
      </c>
      <c r="W17" s="137" t="s">
        <v>97</v>
      </c>
      <c r="X17" s="137" t="s">
        <v>97</v>
      </c>
      <c r="Y17" s="137" t="s">
        <v>97</v>
      </c>
      <c r="Z17" s="137" t="s">
        <v>475</v>
      </c>
      <c r="AA17" s="137" t="s">
        <v>474</v>
      </c>
      <c r="AB17" s="137" t="s">
        <v>477</v>
      </c>
      <c r="AC17" s="137" t="s">
        <v>480</v>
      </c>
      <c r="AD17" s="137" t="s">
        <v>472</v>
      </c>
      <c r="AE17" s="137" t="s">
        <v>469</v>
      </c>
      <c r="AF17" s="137" t="s">
        <v>97</v>
      </c>
      <c r="AG17" s="137" t="s">
        <v>477</v>
      </c>
      <c r="AH17" s="137" t="s">
        <v>472</v>
      </c>
      <c r="AI17" s="137" t="s">
        <v>477</v>
      </c>
      <c r="AJ17" s="137" t="s">
        <v>477</v>
      </c>
      <c r="AK17" s="137" t="s">
        <v>477</v>
      </c>
      <c r="AL17" s="137" t="s">
        <v>97</v>
      </c>
      <c r="AM17" s="137" t="s">
        <v>469</v>
      </c>
      <c r="AN17" s="137" t="s">
        <v>467</v>
      </c>
      <c r="AO17" s="137" t="s">
        <v>97</v>
      </c>
      <c r="AP17" s="137" t="s">
        <v>474</v>
      </c>
      <c r="AQ17" s="137" t="s">
        <v>466</v>
      </c>
      <c r="AR17" s="137" t="s">
        <v>97</v>
      </c>
      <c r="AS17" s="137" t="s">
        <v>474</v>
      </c>
      <c r="AT17" s="137" t="s">
        <v>477</v>
      </c>
      <c r="AU17" s="137" t="s">
        <v>479</v>
      </c>
      <c r="AV17" s="137" t="s">
        <v>475</v>
      </c>
      <c r="AW17" s="137" t="s">
        <v>97</v>
      </c>
      <c r="AX17" s="137" t="s">
        <v>477</v>
      </c>
      <c r="AY17" s="137" t="s">
        <v>467</v>
      </c>
      <c r="AZ17" s="137" t="s">
        <v>477</v>
      </c>
      <c r="BA17" s="137" t="s">
        <v>470</v>
      </c>
      <c r="BB17" s="137" t="s">
        <v>97</v>
      </c>
      <c r="BC17" s="137" t="s">
        <v>97</v>
      </c>
      <c r="BD17" s="137" t="s">
        <v>480</v>
      </c>
      <c r="BE17" s="137" t="s">
        <v>477</v>
      </c>
      <c r="BF17" s="137" t="s">
        <v>97</v>
      </c>
      <c r="BG17" s="137" t="s">
        <v>472</v>
      </c>
      <c r="BH17" s="137" t="s">
        <v>477</v>
      </c>
      <c r="BI17" s="137" t="s">
        <v>97</v>
      </c>
      <c r="BJ17" s="137" t="s">
        <v>540</v>
      </c>
      <c r="BK17" s="137" t="s">
        <v>471</v>
      </c>
      <c r="BL17" s="137" t="s">
        <v>468</v>
      </c>
      <c r="BM17" s="137" t="s">
        <v>97</v>
      </c>
      <c r="BN17" s="137" t="s">
        <v>97</v>
      </c>
      <c r="BO17" s="137" t="s">
        <v>471</v>
      </c>
      <c r="BP17" s="137" t="s">
        <v>477</v>
      </c>
      <c r="BQ17" s="137" t="s">
        <v>471</v>
      </c>
      <c r="BR17" s="137" t="s">
        <v>469</v>
      </c>
      <c r="BS17" s="137" t="s">
        <v>475</v>
      </c>
      <c r="BT17" s="137" t="s">
        <v>469</v>
      </c>
      <c r="BU17" s="137" t="s">
        <v>477</v>
      </c>
      <c r="BV17" s="137" t="s">
        <v>474</v>
      </c>
      <c r="BW17" s="137" t="s">
        <v>97</v>
      </c>
      <c r="BX17" s="137" t="s">
        <v>97</v>
      </c>
      <c r="BY17" s="137" t="s">
        <v>471</v>
      </c>
      <c r="BZ17" s="137" t="s">
        <v>472</v>
      </c>
      <c r="CA17" s="137" t="s">
        <v>477</v>
      </c>
      <c r="CB17" s="137" t="s">
        <v>477</v>
      </c>
      <c r="CC17" s="137" t="s">
        <v>471</v>
      </c>
      <c r="CD17" s="137" t="s">
        <v>97</v>
      </c>
      <c r="CE17" s="137" t="s">
        <v>470</v>
      </c>
      <c r="CF17" s="137" t="s">
        <v>97</v>
      </c>
      <c r="CG17" s="137" t="s">
        <v>469</v>
      </c>
      <c r="CH17" s="137" t="s">
        <v>473</v>
      </c>
      <c r="CI17" s="137" t="s">
        <v>471</v>
      </c>
      <c r="CJ17" s="137" t="s">
        <v>472</v>
      </c>
      <c r="CK17" s="137" t="s">
        <v>467</v>
      </c>
      <c r="CL17" s="137" t="s">
        <v>540</v>
      </c>
      <c r="CM17" s="137" t="s">
        <v>468</v>
      </c>
      <c r="CN17" s="137" t="s">
        <v>477</v>
      </c>
      <c r="CO17" s="137" t="s">
        <v>477</v>
      </c>
      <c r="CP17" s="137" t="s">
        <v>471</v>
      </c>
      <c r="CQ17" s="137" t="s">
        <v>97</v>
      </c>
      <c r="CR17" s="137" t="s">
        <v>540</v>
      </c>
      <c r="CS17" s="137" t="s">
        <v>540</v>
      </c>
      <c r="CT17" s="137" t="s">
        <v>468</v>
      </c>
      <c r="CU17" s="137" t="s">
        <v>473</v>
      </c>
      <c r="CV17" s="137" t="s">
        <v>477</v>
      </c>
      <c r="CW17" s="137" t="s">
        <v>474</v>
      </c>
      <c r="CX17" s="137" t="s">
        <v>469</v>
      </c>
      <c r="CY17" s="137" t="s">
        <v>469</v>
      </c>
      <c r="CZ17" s="137" t="s">
        <v>477</v>
      </c>
      <c r="DA17" s="137" t="s">
        <v>97</v>
      </c>
      <c r="DB17" s="137" t="s">
        <v>97</v>
      </c>
      <c r="DC17" s="137" t="s">
        <v>97</v>
      </c>
      <c r="DD17" s="137" t="s">
        <v>540</v>
      </c>
      <c r="DE17" s="137" t="s">
        <v>472</v>
      </c>
      <c r="DF17" s="137" t="s">
        <v>473</v>
      </c>
      <c r="DG17" s="137" t="s">
        <v>475</v>
      </c>
      <c r="DH17" s="137" t="s">
        <v>475</v>
      </c>
      <c r="DI17" s="137" t="s">
        <v>470</v>
      </c>
      <c r="DJ17" s="137" t="s">
        <v>97</v>
      </c>
      <c r="DK17" s="137" t="s">
        <v>97</v>
      </c>
      <c r="DL17" s="137" t="s">
        <v>97</v>
      </c>
      <c r="DM17" s="137" t="s">
        <v>540</v>
      </c>
      <c r="DN17" s="137" t="s">
        <v>475</v>
      </c>
      <c r="DO17" s="137" t="s">
        <v>477</v>
      </c>
      <c r="DP17" s="137" t="s">
        <v>468</v>
      </c>
      <c r="DW17" s="137" t="s">
        <v>97</v>
      </c>
      <c r="DX17" s="137" t="s">
        <v>97</v>
      </c>
      <c r="DY17" s="137" t="s">
        <v>97</v>
      </c>
      <c r="DZ17" s="137" t="s">
        <v>97</v>
      </c>
    </row>
    <row r="18" spans="1:130" s="185" customFormat="1" outlineLevel="1">
      <c r="A18" s="661"/>
      <c r="B18" s="57" t="str">
        <f t="shared" si="3"/>
        <v xml:space="preserve"> </v>
      </c>
      <c r="C18" s="57" t="str">
        <f t="shared" si="0"/>
        <v>Résistance à l'alcool</v>
      </c>
      <c r="D18" s="57" t="str">
        <f t="shared" si="4"/>
        <v>Perception</v>
      </c>
      <c r="E18" s="84" t="str">
        <f t="shared" si="5"/>
        <v>Marchandage</v>
      </c>
      <c r="F18" s="638"/>
      <c r="G18" s="134" t="s">
        <v>97</v>
      </c>
      <c r="H18" s="137" t="s">
        <v>97</v>
      </c>
      <c r="I18" s="137" t="s">
        <v>97</v>
      </c>
      <c r="J18" s="137" t="s">
        <v>471</v>
      </c>
      <c r="K18" s="137" t="s">
        <v>477</v>
      </c>
      <c r="L18" s="137" t="s">
        <v>470</v>
      </c>
      <c r="M18" s="137" t="s">
        <v>477</v>
      </c>
      <c r="N18" s="137" t="s">
        <v>471</v>
      </c>
      <c r="O18" s="137" t="s">
        <v>473</v>
      </c>
      <c r="P18" s="137" t="s">
        <v>471</v>
      </c>
      <c r="Q18" s="137" t="s">
        <v>478</v>
      </c>
      <c r="R18" s="137" t="s">
        <v>97</v>
      </c>
      <c r="S18" s="137" t="s">
        <v>475</v>
      </c>
      <c r="T18" s="137" t="s">
        <v>97</v>
      </c>
      <c r="U18" s="137" t="s">
        <v>97</v>
      </c>
      <c r="V18" s="137" t="s">
        <v>97</v>
      </c>
      <c r="W18" s="137" t="s">
        <v>97</v>
      </c>
      <c r="X18" s="137" t="s">
        <v>97</v>
      </c>
      <c r="Y18" s="137" t="s">
        <v>97</v>
      </c>
      <c r="Z18" s="137" t="s">
        <v>477</v>
      </c>
      <c r="AA18" s="137" t="s">
        <v>475</v>
      </c>
      <c r="AB18" s="137" t="s">
        <v>480</v>
      </c>
      <c r="AC18" s="137" t="s">
        <v>467</v>
      </c>
      <c r="AD18" s="137" t="s">
        <v>477</v>
      </c>
      <c r="AE18" s="137" t="s">
        <v>470</v>
      </c>
      <c r="AF18" s="137" t="s">
        <v>97</v>
      </c>
      <c r="AG18" s="137" t="s">
        <v>97</v>
      </c>
      <c r="AH18" s="137" t="s">
        <v>475</v>
      </c>
      <c r="AI18" s="137" t="s">
        <v>540</v>
      </c>
      <c r="AJ18" s="137" t="s">
        <v>479</v>
      </c>
      <c r="AK18" s="137" t="s">
        <v>475</v>
      </c>
      <c r="AL18" s="137" t="s">
        <v>97</v>
      </c>
      <c r="AM18" s="137" t="s">
        <v>540</v>
      </c>
      <c r="AN18" s="137" t="s">
        <v>471</v>
      </c>
      <c r="AO18" s="137" t="s">
        <v>97</v>
      </c>
      <c r="AP18" s="137" t="s">
        <v>469</v>
      </c>
      <c r="AQ18" s="137" t="s">
        <v>468</v>
      </c>
      <c r="AR18" s="137" t="s">
        <v>97</v>
      </c>
      <c r="AS18" s="137" t="s">
        <v>477</v>
      </c>
      <c r="AT18" s="137" t="s">
        <v>479</v>
      </c>
      <c r="AU18" s="137" t="s">
        <v>97</v>
      </c>
      <c r="AV18" s="137" t="s">
        <v>540</v>
      </c>
      <c r="AW18" s="137" t="s">
        <v>97</v>
      </c>
      <c r="AX18" s="137" t="s">
        <v>472</v>
      </c>
      <c r="AY18" s="137" t="s">
        <v>468</v>
      </c>
      <c r="AZ18" s="137" t="s">
        <v>478</v>
      </c>
      <c r="BA18" s="137" t="s">
        <v>471</v>
      </c>
      <c r="BB18" s="137" t="s">
        <v>97</v>
      </c>
      <c r="BC18" s="137" t="s">
        <v>97</v>
      </c>
      <c r="BD18" s="137" t="s">
        <v>97</v>
      </c>
      <c r="BE18" s="137" t="s">
        <v>97</v>
      </c>
      <c r="BF18" s="137" t="s">
        <v>97</v>
      </c>
      <c r="BG18" s="137" t="s">
        <v>477</v>
      </c>
      <c r="BH18" s="137" t="s">
        <v>478</v>
      </c>
      <c r="BI18" s="137" t="s">
        <v>97</v>
      </c>
      <c r="BJ18" s="137" t="s">
        <v>473</v>
      </c>
      <c r="BK18" s="137" t="s">
        <v>475</v>
      </c>
      <c r="BL18" s="137" t="s">
        <v>469</v>
      </c>
      <c r="BM18" s="137" t="s">
        <v>97</v>
      </c>
      <c r="BN18" s="137" t="s">
        <v>97</v>
      </c>
      <c r="BO18" s="137" t="s">
        <v>469</v>
      </c>
      <c r="BP18" s="137" t="s">
        <v>478</v>
      </c>
      <c r="BQ18" s="137" t="s">
        <v>475</v>
      </c>
      <c r="BR18" s="137" t="s">
        <v>97</v>
      </c>
      <c r="BS18" s="137" t="s">
        <v>477</v>
      </c>
      <c r="BT18" s="137" t="s">
        <v>471</v>
      </c>
      <c r="BU18" s="137" t="s">
        <v>478</v>
      </c>
      <c r="BV18" s="137" t="s">
        <v>540</v>
      </c>
      <c r="BW18" s="137" t="s">
        <v>97</v>
      </c>
      <c r="BX18" s="137" t="s">
        <v>97</v>
      </c>
      <c r="BY18" s="137" t="s">
        <v>472</v>
      </c>
      <c r="BZ18" s="137" t="s">
        <v>474</v>
      </c>
      <c r="CA18" s="137" t="s">
        <v>479</v>
      </c>
      <c r="CB18" s="137" t="s">
        <v>479</v>
      </c>
      <c r="CC18" s="137" t="s">
        <v>477</v>
      </c>
      <c r="CD18" s="137" t="s">
        <v>97</v>
      </c>
      <c r="CE18" s="137" t="s">
        <v>471</v>
      </c>
      <c r="CF18" s="137" t="s">
        <v>97</v>
      </c>
      <c r="CG18" s="137" t="s">
        <v>474</v>
      </c>
      <c r="CH18" s="137" t="s">
        <v>474</v>
      </c>
      <c r="CI18" s="137" t="s">
        <v>473</v>
      </c>
      <c r="CJ18" s="137" t="s">
        <v>477</v>
      </c>
      <c r="CK18" s="137" t="s">
        <v>468</v>
      </c>
      <c r="CL18" s="137" t="s">
        <v>478</v>
      </c>
      <c r="CM18" s="137" t="s">
        <v>480</v>
      </c>
      <c r="CN18" s="137" t="s">
        <v>479</v>
      </c>
      <c r="CO18" s="137" t="s">
        <v>479</v>
      </c>
      <c r="CP18" s="137" t="s">
        <v>475</v>
      </c>
      <c r="CQ18" s="137" t="s">
        <v>97</v>
      </c>
      <c r="CR18" s="137" t="s">
        <v>477</v>
      </c>
      <c r="CS18" s="137" t="s">
        <v>97</v>
      </c>
      <c r="CT18" s="137" t="s">
        <v>470</v>
      </c>
      <c r="CU18" s="137" t="s">
        <v>475</v>
      </c>
      <c r="CV18" s="137" t="s">
        <v>479</v>
      </c>
      <c r="CW18" s="137" t="s">
        <v>475</v>
      </c>
      <c r="CX18" s="137" t="s">
        <v>473</v>
      </c>
      <c r="CY18" s="137" t="s">
        <v>472</v>
      </c>
      <c r="CZ18" s="137" t="s">
        <v>480</v>
      </c>
      <c r="DA18" s="137" t="s">
        <v>97</v>
      </c>
      <c r="DB18" s="137" t="s">
        <v>97</v>
      </c>
      <c r="DC18" s="137" t="s">
        <v>97</v>
      </c>
      <c r="DD18" s="137" t="s">
        <v>473</v>
      </c>
      <c r="DE18" s="137" t="s">
        <v>475</v>
      </c>
      <c r="DF18" s="137" t="s">
        <v>801</v>
      </c>
      <c r="DG18" s="137" t="s">
        <v>477</v>
      </c>
      <c r="DH18" s="137" t="s">
        <v>97</v>
      </c>
      <c r="DI18" s="137" t="s">
        <v>472</v>
      </c>
      <c r="DJ18" s="137" t="s">
        <v>97</v>
      </c>
      <c r="DK18" s="137" t="s">
        <v>97</v>
      </c>
      <c r="DL18" s="137" t="s">
        <v>97</v>
      </c>
      <c r="DM18" s="137" t="s">
        <v>477</v>
      </c>
      <c r="DN18" s="137" t="s">
        <v>477</v>
      </c>
      <c r="DO18" s="137" t="s">
        <v>478</v>
      </c>
      <c r="DP18" s="137" t="s">
        <v>469</v>
      </c>
      <c r="DW18" s="137" t="s">
        <v>97</v>
      </c>
      <c r="DX18" s="137" t="s">
        <v>97</v>
      </c>
      <c r="DY18" s="137" t="s">
        <v>97</v>
      </c>
      <c r="DZ18" s="137" t="s">
        <v>97</v>
      </c>
    </row>
    <row r="19" spans="1:130" s="185" customFormat="1" outlineLevel="1">
      <c r="A19" s="661"/>
      <c r="B19" s="57" t="str">
        <f t="shared" si="3"/>
        <v xml:space="preserve"> </v>
      </c>
      <c r="C19" s="57" t="str">
        <f t="shared" si="0"/>
        <v xml:space="preserve"> </v>
      </c>
      <c r="D19" s="57" t="str">
        <f t="shared" si="4"/>
        <v xml:space="preserve"> </v>
      </c>
      <c r="E19" s="84" t="str">
        <f t="shared" si="5"/>
        <v>Perception</v>
      </c>
      <c r="F19" s="638"/>
      <c r="G19" s="134" t="s">
        <v>97</v>
      </c>
      <c r="H19" s="137" t="s">
        <v>97</v>
      </c>
      <c r="I19" s="137" t="s">
        <v>97</v>
      </c>
      <c r="J19" s="137" t="s">
        <v>477</v>
      </c>
      <c r="K19" s="137" t="s">
        <v>479</v>
      </c>
      <c r="L19" s="137" t="s">
        <v>477</v>
      </c>
      <c r="M19" s="137" t="s">
        <v>478</v>
      </c>
      <c r="N19" s="137" t="s">
        <v>479</v>
      </c>
      <c r="O19" s="137" t="s">
        <v>475</v>
      </c>
      <c r="P19" s="137" t="s">
        <v>479</v>
      </c>
      <c r="Q19" s="185" t="s">
        <v>480</v>
      </c>
      <c r="R19" s="137" t="s">
        <v>97</v>
      </c>
      <c r="S19" s="137" t="s">
        <v>75</v>
      </c>
      <c r="T19" s="137" t="s">
        <v>97</v>
      </c>
      <c r="U19" s="137" t="s">
        <v>97</v>
      </c>
      <c r="V19" s="137" t="s">
        <v>97</v>
      </c>
      <c r="W19" s="137" t="s">
        <v>97</v>
      </c>
      <c r="X19" s="137" t="s">
        <v>97</v>
      </c>
      <c r="Y19" s="137" t="s">
        <v>97</v>
      </c>
      <c r="Z19" s="137" t="s">
        <v>480</v>
      </c>
      <c r="AA19" s="137" t="s">
        <v>477</v>
      </c>
      <c r="AB19" s="137" t="s">
        <v>97</v>
      </c>
      <c r="AC19" s="137" t="s">
        <v>540</v>
      </c>
      <c r="AD19" s="137" t="s">
        <v>97</v>
      </c>
      <c r="AE19" s="137" t="s">
        <v>477</v>
      </c>
      <c r="AF19" s="137" t="s">
        <v>97</v>
      </c>
      <c r="AG19" s="137" t="s">
        <v>97</v>
      </c>
      <c r="AH19" s="137" t="s">
        <v>477</v>
      </c>
      <c r="AI19" s="137" t="s">
        <v>97</v>
      </c>
      <c r="AJ19" s="137" t="s">
        <v>475</v>
      </c>
      <c r="AK19" s="137" t="s">
        <v>97</v>
      </c>
      <c r="AL19" s="137" t="s">
        <v>97</v>
      </c>
      <c r="AM19" s="137" t="s">
        <v>97</v>
      </c>
      <c r="AN19" s="137" t="s">
        <v>472</v>
      </c>
      <c r="AO19" s="137" t="s">
        <v>97</v>
      </c>
      <c r="AP19" s="137" t="s">
        <v>471</v>
      </c>
      <c r="AQ19" s="137" t="s">
        <v>473</v>
      </c>
      <c r="AR19" s="137" t="s">
        <v>97</v>
      </c>
      <c r="AS19" s="137" t="s">
        <v>97</v>
      </c>
      <c r="AT19" s="137" t="s">
        <v>480</v>
      </c>
      <c r="AU19" s="137" t="s">
        <v>97</v>
      </c>
      <c r="AV19" s="137" t="s">
        <v>97</v>
      </c>
      <c r="AW19" s="137" t="s">
        <v>97</v>
      </c>
      <c r="AX19" s="137" t="s">
        <v>475</v>
      </c>
      <c r="AY19" s="137" t="s">
        <v>97</v>
      </c>
      <c r="AZ19" s="137" t="s">
        <v>97</v>
      </c>
      <c r="BA19" s="137" t="s">
        <v>540</v>
      </c>
      <c r="BB19" s="137" t="s">
        <v>97</v>
      </c>
      <c r="BC19" s="137" t="s">
        <v>97</v>
      </c>
      <c r="BD19" s="137" t="s">
        <v>97</v>
      </c>
      <c r="BE19" s="137" t="s">
        <v>97</v>
      </c>
      <c r="BF19" s="137" t="s">
        <v>97</v>
      </c>
      <c r="BG19" s="137" t="s">
        <v>480</v>
      </c>
      <c r="BH19" s="137" t="s">
        <v>97</v>
      </c>
      <c r="BI19" s="137" t="s">
        <v>97</v>
      </c>
      <c r="BJ19" s="137" t="s">
        <v>97</v>
      </c>
      <c r="BK19" s="137" t="s">
        <v>477</v>
      </c>
      <c r="BL19" s="137" t="s">
        <v>470</v>
      </c>
      <c r="BM19" s="137" t="s">
        <v>97</v>
      </c>
      <c r="BN19" s="137" t="s">
        <v>97</v>
      </c>
      <c r="BO19" s="137" t="s">
        <v>472</v>
      </c>
      <c r="BP19" s="137" t="s">
        <v>480</v>
      </c>
      <c r="BQ19" s="137" t="s">
        <v>477</v>
      </c>
      <c r="BR19" s="137" t="s">
        <v>97</v>
      </c>
      <c r="BS19" s="137" t="s">
        <v>97</v>
      </c>
      <c r="BT19" s="137" t="s">
        <v>475</v>
      </c>
      <c r="BU19" s="137" t="s">
        <v>97</v>
      </c>
      <c r="BV19" s="137" t="s">
        <v>478</v>
      </c>
      <c r="BW19" s="137" t="s">
        <v>97</v>
      </c>
      <c r="BX19" s="137" t="s">
        <v>97</v>
      </c>
      <c r="BY19" s="137" t="s">
        <v>475</v>
      </c>
      <c r="BZ19" s="137" t="s">
        <v>475</v>
      </c>
      <c r="CA19" s="137" t="s">
        <v>480</v>
      </c>
      <c r="CB19" s="137" t="s">
        <v>480</v>
      </c>
      <c r="CC19" s="137" t="s">
        <v>479</v>
      </c>
      <c r="CD19" s="137" t="s">
        <v>97</v>
      </c>
      <c r="CE19" s="137" t="s">
        <v>472</v>
      </c>
      <c r="CF19" s="137" t="s">
        <v>97</v>
      </c>
      <c r="CG19" s="137" t="s">
        <v>478</v>
      </c>
      <c r="CH19" s="137" t="s">
        <v>540</v>
      </c>
      <c r="CI19" s="137" t="s">
        <v>475</v>
      </c>
      <c r="CJ19" s="137" t="s">
        <v>479</v>
      </c>
      <c r="CK19" s="137" t="s">
        <v>470</v>
      </c>
      <c r="CL19" s="137" t="s">
        <v>480</v>
      </c>
      <c r="CM19" s="137" t="s">
        <v>472</v>
      </c>
      <c r="CN19" s="137" t="s">
        <v>97</v>
      </c>
      <c r="CO19" s="137" t="s">
        <v>97</v>
      </c>
      <c r="CP19" s="137" t="s">
        <v>477</v>
      </c>
      <c r="CQ19" s="137" t="s">
        <v>97</v>
      </c>
      <c r="CR19" s="137" t="s">
        <v>97</v>
      </c>
      <c r="CS19" s="137" t="s">
        <v>97</v>
      </c>
      <c r="CT19" s="137" t="s">
        <v>471</v>
      </c>
      <c r="CU19" s="137" t="s">
        <v>477</v>
      </c>
      <c r="CV19" s="137" t="s">
        <v>97</v>
      </c>
      <c r="CW19" s="137" t="s">
        <v>477</v>
      </c>
      <c r="CX19" s="137" t="s">
        <v>477</v>
      </c>
      <c r="CY19" s="137" t="s">
        <v>473</v>
      </c>
      <c r="CZ19" s="137" t="s">
        <v>97</v>
      </c>
      <c r="DA19" s="137" t="s">
        <v>97</v>
      </c>
      <c r="DB19" s="137" t="s">
        <v>97</v>
      </c>
      <c r="DC19" s="137" t="s">
        <v>97</v>
      </c>
      <c r="DD19" s="137" t="s">
        <v>477</v>
      </c>
      <c r="DE19" s="137" t="s">
        <v>477</v>
      </c>
      <c r="DF19" s="137" t="s">
        <v>479</v>
      </c>
      <c r="DG19" s="137" t="s">
        <v>479</v>
      </c>
      <c r="DH19" s="137" t="s">
        <v>97</v>
      </c>
      <c r="DI19" s="137" t="s">
        <v>475</v>
      </c>
      <c r="DJ19" s="137" t="s">
        <v>97</v>
      </c>
      <c r="DK19" s="137" t="s">
        <v>97</v>
      </c>
      <c r="DL19" s="137" t="s">
        <v>97</v>
      </c>
      <c r="DM19" s="137" t="s">
        <v>480</v>
      </c>
      <c r="DN19" s="137" t="s">
        <v>97</v>
      </c>
      <c r="DO19" s="137" t="s">
        <v>97</v>
      </c>
      <c r="DP19" s="137" t="s">
        <v>470</v>
      </c>
      <c r="DW19" s="137" t="s">
        <v>97</v>
      </c>
      <c r="DX19" s="137" t="s">
        <v>97</v>
      </c>
      <c r="DY19" s="137" t="s">
        <v>97</v>
      </c>
      <c r="DZ19" s="137" t="s">
        <v>97</v>
      </c>
    </row>
    <row r="20" spans="1:130" s="185" customFormat="1" outlineLevel="1">
      <c r="A20" s="661"/>
      <c r="B20" s="57" t="str">
        <f t="shared" si="3"/>
        <v xml:space="preserve"> </v>
      </c>
      <c r="C20" s="57" t="str">
        <f t="shared" si="0"/>
        <v xml:space="preserve"> </v>
      </c>
      <c r="D20" s="57" t="str">
        <f t="shared" si="4"/>
        <v xml:space="preserve"> </v>
      </c>
      <c r="E20" s="84" t="str">
        <f t="shared" si="5"/>
        <v>Soins des animaux</v>
      </c>
      <c r="F20" s="638"/>
      <c r="G20" s="134" t="s">
        <v>97</v>
      </c>
      <c r="H20" s="137" t="s">
        <v>97</v>
      </c>
      <c r="I20" s="137" t="s">
        <v>97</v>
      </c>
      <c r="J20" s="137" t="s">
        <v>97</v>
      </c>
      <c r="K20" s="137" t="s">
        <v>97</v>
      </c>
      <c r="L20" s="137" t="s">
        <v>97</v>
      </c>
      <c r="M20" s="137" t="s">
        <v>97</v>
      </c>
      <c r="N20" s="137" t="s">
        <v>97</v>
      </c>
      <c r="O20" s="137" t="s">
        <v>477</v>
      </c>
      <c r="P20" s="137" t="s">
        <v>97</v>
      </c>
      <c r="Q20" s="137" t="s">
        <v>97</v>
      </c>
      <c r="R20" s="137" t="s">
        <v>97</v>
      </c>
      <c r="S20" s="137" t="s">
        <v>478</v>
      </c>
      <c r="T20" s="137" t="s">
        <v>97</v>
      </c>
      <c r="U20" s="137" t="s">
        <v>97</v>
      </c>
      <c r="V20" s="137" t="s">
        <v>97</v>
      </c>
      <c r="W20" s="137" t="s">
        <v>97</v>
      </c>
      <c r="X20" s="137" t="s">
        <v>97</v>
      </c>
      <c r="Y20" s="137" t="s">
        <v>97</v>
      </c>
      <c r="Z20" s="137" t="s">
        <v>465</v>
      </c>
      <c r="AA20" s="137" t="s">
        <v>463</v>
      </c>
      <c r="AB20" s="137" t="s">
        <v>97</v>
      </c>
      <c r="AC20" s="137" t="s">
        <v>97</v>
      </c>
      <c r="AD20" s="137" t="s">
        <v>97</v>
      </c>
      <c r="AE20" s="137" t="s">
        <v>97</v>
      </c>
      <c r="AF20" s="137" t="s">
        <v>97</v>
      </c>
      <c r="AG20" s="137" t="s">
        <v>97</v>
      </c>
      <c r="AH20" s="137" t="s">
        <v>479</v>
      </c>
      <c r="AI20" s="137" t="s">
        <v>97</v>
      </c>
      <c r="AJ20" s="137" t="s">
        <v>97</v>
      </c>
      <c r="AK20" s="137" t="s">
        <v>97</v>
      </c>
      <c r="AL20" s="137" t="s">
        <v>97</v>
      </c>
      <c r="AM20" s="137" t="s">
        <v>97</v>
      </c>
      <c r="AN20" s="137" t="s">
        <v>475</v>
      </c>
      <c r="AO20" s="137" t="s">
        <v>97</v>
      </c>
      <c r="AP20" s="137" t="s">
        <v>477</v>
      </c>
      <c r="AQ20" s="137" t="s">
        <v>477</v>
      </c>
      <c r="AR20" s="137" t="s">
        <v>97</v>
      </c>
      <c r="AS20" s="137" t="s">
        <v>97</v>
      </c>
      <c r="AT20" s="137" t="s">
        <v>97</v>
      </c>
      <c r="AU20" s="137" t="s">
        <v>97</v>
      </c>
      <c r="AV20" s="137" t="s">
        <v>97</v>
      </c>
      <c r="AW20" s="137" t="s">
        <v>97</v>
      </c>
      <c r="AX20" s="137" t="s">
        <v>474</v>
      </c>
      <c r="AY20" s="137" t="s">
        <v>97</v>
      </c>
      <c r="AZ20" s="137" t="s">
        <v>97</v>
      </c>
      <c r="BA20" s="137" t="s">
        <v>477</v>
      </c>
      <c r="BB20" s="137" t="s">
        <v>97</v>
      </c>
      <c r="BC20" s="137" t="s">
        <v>97</v>
      </c>
      <c r="BD20" s="137" t="s">
        <v>97</v>
      </c>
      <c r="BE20" s="137" t="s">
        <v>97</v>
      </c>
      <c r="BF20" s="137" t="s">
        <v>97</v>
      </c>
      <c r="BG20" s="137" t="s">
        <v>97</v>
      </c>
      <c r="BH20" s="137" t="s">
        <v>97</v>
      </c>
      <c r="BI20" s="137" t="s">
        <v>97</v>
      </c>
      <c r="BJ20" s="137" t="s">
        <v>97</v>
      </c>
      <c r="BK20" s="137" t="s">
        <v>97</v>
      </c>
      <c r="BL20" s="137" t="s">
        <v>540</v>
      </c>
      <c r="BM20" s="137" t="s">
        <v>97</v>
      </c>
      <c r="BN20" s="137" t="s">
        <v>97</v>
      </c>
      <c r="BO20" s="137" t="s">
        <v>473</v>
      </c>
      <c r="BP20" s="137" t="s">
        <v>97</v>
      </c>
      <c r="BQ20" s="137" t="s">
        <v>97</v>
      </c>
      <c r="BR20" s="137" t="s">
        <v>97</v>
      </c>
      <c r="BS20" s="137" t="s">
        <v>97</v>
      </c>
      <c r="BT20" s="137" t="s">
        <v>97</v>
      </c>
      <c r="BU20" s="137" t="s">
        <v>97</v>
      </c>
      <c r="BV20" s="137" t="s">
        <v>97</v>
      </c>
      <c r="BW20" s="137" t="s">
        <v>97</v>
      </c>
      <c r="BX20" s="137" t="s">
        <v>97</v>
      </c>
      <c r="BY20" s="137" t="s">
        <v>477</v>
      </c>
      <c r="BZ20" s="137" t="s">
        <v>540</v>
      </c>
      <c r="CA20" s="137" t="s">
        <v>97</v>
      </c>
      <c r="CB20" s="137" t="s">
        <v>474</v>
      </c>
      <c r="CC20" s="137" t="s">
        <v>480</v>
      </c>
      <c r="CD20" s="137" t="s">
        <v>97</v>
      </c>
      <c r="CE20" s="137" t="s">
        <v>477</v>
      </c>
      <c r="CF20" s="137" t="s">
        <v>97</v>
      </c>
      <c r="CG20" s="137" t="s">
        <v>97</v>
      </c>
      <c r="CH20" s="137" t="s">
        <v>478</v>
      </c>
      <c r="CI20" s="137" t="s">
        <v>540</v>
      </c>
      <c r="CJ20" s="137" t="s">
        <v>480</v>
      </c>
      <c r="CK20" s="137" t="s">
        <v>474</v>
      </c>
      <c r="CL20" s="137" t="s">
        <v>97</v>
      </c>
      <c r="CM20" s="137" t="s">
        <v>477</v>
      </c>
      <c r="CN20" s="137" t="s">
        <v>97</v>
      </c>
      <c r="CO20" s="137" t="s">
        <v>97</v>
      </c>
      <c r="CP20" s="137" t="s">
        <v>97</v>
      </c>
      <c r="CQ20" s="137" t="s">
        <v>97</v>
      </c>
      <c r="CR20" s="137" t="s">
        <v>97</v>
      </c>
      <c r="CS20" s="137" t="s">
        <v>97</v>
      </c>
      <c r="CT20" s="137" t="s">
        <v>472</v>
      </c>
      <c r="CU20" s="137" t="s">
        <v>97</v>
      </c>
      <c r="CV20" s="137" t="s">
        <v>97</v>
      </c>
      <c r="CW20" s="137" t="s">
        <v>97</v>
      </c>
      <c r="CX20" s="137" t="s">
        <v>479</v>
      </c>
      <c r="CY20" s="137" t="s">
        <v>477</v>
      </c>
      <c r="CZ20" s="137" t="s">
        <v>97</v>
      </c>
      <c r="DA20" s="137" t="s">
        <v>97</v>
      </c>
      <c r="DB20" s="137" t="s">
        <v>97</v>
      </c>
      <c r="DC20" s="137" t="s">
        <v>97</v>
      </c>
      <c r="DD20" s="137" t="s">
        <v>97</v>
      </c>
      <c r="DE20" s="137" t="s">
        <v>479</v>
      </c>
      <c r="DF20" s="137" t="s">
        <v>97</v>
      </c>
      <c r="DG20" s="137" t="s">
        <v>97</v>
      </c>
      <c r="DH20" s="137" t="s">
        <v>97</v>
      </c>
      <c r="DI20" s="137" t="s">
        <v>477</v>
      </c>
      <c r="DJ20" s="137" t="s">
        <v>97</v>
      </c>
      <c r="DK20" s="137" t="s">
        <v>97</v>
      </c>
      <c r="DL20" s="137" t="s">
        <v>97</v>
      </c>
      <c r="DM20" s="137" t="s">
        <v>97</v>
      </c>
      <c r="DN20" s="137" t="s">
        <v>97</v>
      </c>
      <c r="DO20" s="137" t="s">
        <v>97</v>
      </c>
      <c r="DP20" s="137" t="s">
        <v>471</v>
      </c>
      <c r="DW20" s="137" t="s">
        <v>97</v>
      </c>
      <c r="DX20" s="137" t="s">
        <v>97</v>
      </c>
      <c r="DY20" s="137" t="s">
        <v>97</v>
      </c>
      <c r="DZ20" s="137" t="s">
        <v>97</v>
      </c>
    </row>
    <row r="21" spans="1:130" s="185" customFormat="1" outlineLevel="1">
      <c r="A21" s="661"/>
      <c r="B21" s="57" t="str">
        <f t="shared" si="3"/>
        <v xml:space="preserve"> </v>
      </c>
      <c r="C21" s="57" t="str">
        <f t="shared" si="0"/>
        <v xml:space="preserve"> </v>
      </c>
      <c r="D21" s="57" t="str">
        <f t="shared" si="4"/>
        <v xml:space="preserve"> </v>
      </c>
      <c r="E21" s="84" t="str">
        <f t="shared" si="5"/>
        <v>Commérages</v>
      </c>
      <c r="F21" s="638"/>
      <c r="G21" s="134" t="s">
        <v>97</v>
      </c>
      <c r="H21" s="137" t="s">
        <v>97</v>
      </c>
      <c r="I21" s="137" t="s">
        <v>97</v>
      </c>
      <c r="J21" s="137" t="s">
        <v>97</v>
      </c>
      <c r="K21" s="137" t="s">
        <v>97</v>
      </c>
      <c r="L21" s="137" t="s">
        <v>97</v>
      </c>
      <c r="M21" s="137" t="s">
        <v>97</v>
      </c>
      <c r="N21" s="137" t="s">
        <v>97</v>
      </c>
      <c r="O21" s="137" t="s">
        <v>97</v>
      </c>
      <c r="P21" s="137" t="s">
        <v>97</v>
      </c>
      <c r="Q21" s="137" t="s">
        <v>97</v>
      </c>
      <c r="R21" s="137" t="s">
        <v>97</v>
      </c>
      <c r="S21" s="137" t="s">
        <v>97</v>
      </c>
      <c r="T21" s="137" t="s">
        <v>97</v>
      </c>
      <c r="U21" s="137" t="s">
        <v>97</v>
      </c>
      <c r="V21" s="137" t="s">
        <v>97</v>
      </c>
      <c r="W21" s="137" t="s">
        <v>97</v>
      </c>
      <c r="X21" s="137" t="s">
        <v>97</v>
      </c>
      <c r="Y21" s="137" t="s">
        <v>97</v>
      </c>
      <c r="Z21" s="137" t="s">
        <v>468</v>
      </c>
      <c r="AA21" s="137" t="s">
        <v>97</v>
      </c>
      <c r="AB21" s="137" t="s">
        <v>97</v>
      </c>
      <c r="AC21" s="137" t="s">
        <v>97</v>
      </c>
      <c r="AD21" s="137" t="s">
        <v>97</v>
      </c>
      <c r="AE21" s="137" t="s">
        <v>97</v>
      </c>
      <c r="AF21" s="137" t="s">
        <v>97</v>
      </c>
      <c r="AG21" s="137" t="s">
        <v>97</v>
      </c>
      <c r="AH21" s="137" t="s">
        <v>826</v>
      </c>
      <c r="AI21" s="137" t="s">
        <v>97</v>
      </c>
      <c r="AJ21" s="137" t="s">
        <v>97</v>
      </c>
      <c r="AK21" s="137" t="s">
        <v>97</v>
      </c>
      <c r="AL21" s="137" t="s">
        <v>97</v>
      </c>
      <c r="AM21" s="137" t="s">
        <v>97</v>
      </c>
      <c r="AN21" s="137" t="s">
        <v>540</v>
      </c>
      <c r="AO21" s="137" t="s">
        <v>97</v>
      </c>
      <c r="AP21" s="137" t="s">
        <v>97</v>
      </c>
      <c r="AQ21" s="137" t="s">
        <v>97</v>
      </c>
      <c r="AR21" s="137" t="s">
        <v>97</v>
      </c>
      <c r="AS21" s="137" t="s">
        <v>97</v>
      </c>
      <c r="AT21" s="137" t="s">
        <v>97</v>
      </c>
      <c r="AU21" s="137" t="s">
        <v>97</v>
      </c>
      <c r="AV21" s="137" t="s">
        <v>97</v>
      </c>
      <c r="AW21" s="137" t="s">
        <v>97</v>
      </c>
      <c r="AX21" s="137" t="s">
        <v>97</v>
      </c>
      <c r="AY21" s="137" t="s">
        <v>97</v>
      </c>
      <c r="AZ21" s="137" t="s">
        <v>97</v>
      </c>
      <c r="BA21" s="137" t="s">
        <v>480</v>
      </c>
      <c r="BB21" s="137" t="s">
        <v>97</v>
      </c>
      <c r="BC21" s="137" t="s">
        <v>97</v>
      </c>
      <c r="BD21" s="137" t="s">
        <v>97</v>
      </c>
      <c r="BE21" s="137" t="s">
        <v>97</v>
      </c>
      <c r="BF21" s="137" t="s">
        <v>97</v>
      </c>
      <c r="BG21" s="137" t="s">
        <v>97</v>
      </c>
      <c r="BH21" s="137" t="s">
        <v>97</v>
      </c>
      <c r="BI21" s="137" t="s">
        <v>97</v>
      </c>
      <c r="BJ21" s="137" t="s">
        <v>97</v>
      </c>
      <c r="BK21" s="137" t="s">
        <v>97</v>
      </c>
      <c r="BL21" s="137" t="s">
        <v>477</v>
      </c>
      <c r="BM21" s="137" t="s">
        <v>97</v>
      </c>
      <c r="BN21" s="137" t="s">
        <v>97</v>
      </c>
      <c r="BO21" s="137" t="s">
        <v>475</v>
      </c>
      <c r="BP21" s="137" t="s">
        <v>97</v>
      </c>
      <c r="BQ21" s="137" t="s">
        <v>97</v>
      </c>
      <c r="BR21" s="137" t="s">
        <v>97</v>
      </c>
      <c r="BS21" s="137" t="s">
        <v>97</v>
      </c>
      <c r="BT21" s="137" t="s">
        <v>97</v>
      </c>
      <c r="BU21" s="137" t="s">
        <v>97</v>
      </c>
      <c r="BV21" s="137" t="s">
        <v>97</v>
      </c>
      <c r="BW21" s="137" t="s">
        <v>97</v>
      </c>
      <c r="BX21" s="137" t="s">
        <v>97</v>
      </c>
      <c r="BY21" s="137" t="s">
        <v>97</v>
      </c>
      <c r="BZ21" s="137" t="s">
        <v>477</v>
      </c>
      <c r="CA21" s="137" t="s">
        <v>97</v>
      </c>
      <c r="CB21" s="137" t="s">
        <v>540</v>
      </c>
      <c r="CC21" s="137" t="s">
        <v>97</v>
      </c>
      <c r="CD21" s="137" t="s">
        <v>97</v>
      </c>
      <c r="CE21" s="137" t="s">
        <v>97</v>
      </c>
      <c r="CF21" s="137" t="s">
        <v>97</v>
      </c>
      <c r="CG21" s="137" t="s">
        <v>97</v>
      </c>
      <c r="CH21" s="137" t="s">
        <v>97</v>
      </c>
      <c r="CI21" s="137" t="s">
        <v>477</v>
      </c>
      <c r="CJ21" s="137" t="s">
        <v>97</v>
      </c>
      <c r="CK21" s="137" t="s">
        <v>540</v>
      </c>
      <c r="CL21" s="137" t="s">
        <v>97</v>
      </c>
      <c r="CM21" s="137" t="s">
        <v>97</v>
      </c>
      <c r="CN21" s="137" t="s">
        <v>97</v>
      </c>
      <c r="CO21" s="137" t="s">
        <v>97</v>
      </c>
      <c r="CP21" s="137" t="s">
        <v>97</v>
      </c>
      <c r="CQ21" s="137" t="s">
        <v>97</v>
      </c>
      <c r="CR21" s="137" t="s">
        <v>97</v>
      </c>
      <c r="CS21" s="137" t="s">
        <v>97</v>
      </c>
      <c r="CT21" s="137" t="s">
        <v>474</v>
      </c>
      <c r="CU21" s="137" t="s">
        <v>97</v>
      </c>
      <c r="CV21" s="137" t="s">
        <v>97</v>
      </c>
      <c r="CW21" s="137" t="s">
        <v>97</v>
      </c>
      <c r="CX21" s="137" t="s">
        <v>97</v>
      </c>
      <c r="CY21" s="137" t="s">
        <v>97</v>
      </c>
      <c r="CZ21" s="137" t="s">
        <v>97</v>
      </c>
      <c r="DA21" s="137" t="s">
        <v>97</v>
      </c>
      <c r="DB21" s="137" t="s">
        <v>97</v>
      </c>
      <c r="DC21" s="137" t="s">
        <v>97</v>
      </c>
      <c r="DD21" s="137" t="s">
        <v>97</v>
      </c>
      <c r="DE21" s="137" t="s">
        <v>97</v>
      </c>
      <c r="DF21" s="137" t="s">
        <v>97</v>
      </c>
      <c r="DG21" s="137" t="s">
        <v>97</v>
      </c>
      <c r="DH21" s="137" t="s">
        <v>97</v>
      </c>
      <c r="DI21" s="137" t="s">
        <v>97</v>
      </c>
      <c r="DJ21" s="137" t="s">
        <v>97</v>
      </c>
      <c r="DK21" s="137" t="s">
        <v>97</v>
      </c>
      <c r="DL21" s="137" t="s">
        <v>97</v>
      </c>
      <c r="DM21" s="137" t="s">
        <v>97</v>
      </c>
      <c r="DN21" s="137" t="s">
        <v>97</v>
      </c>
      <c r="DO21" s="137" t="s">
        <v>97</v>
      </c>
      <c r="DP21" s="137" t="s">
        <v>472</v>
      </c>
      <c r="DW21" s="137" t="s">
        <v>97</v>
      </c>
      <c r="DX21" s="137" t="s">
        <v>97</v>
      </c>
      <c r="DY21" s="137" t="s">
        <v>97</v>
      </c>
      <c r="DZ21" s="137" t="s">
        <v>97</v>
      </c>
    </row>
    <row r="22" spans="1:130" s="185" customFormat="1" outlineLevel="1">
      <c r="A22" s="661"/>
      <c r="B22" s="57" t="str">
        <f t="shared" si="3"/>
        <v xml:space="preserve"> </v>
      </c>
      <c r="C22" s="57" t="str">
        <f t="shared" si="0"/>
        <v xml:space="preserve"> </v>
      </c>
      <c r="D22" s="57" t="str">
        <f t="shared" si="4"/>
        <v xml:space="preserve"> </v>
      </c>
      <c r="E22" s="84" t="str">
        <f t="shared" si="5"/>
        <v xml:space="preserve"> </v>
      </c>
      <c r="F22" s="638"/>
      <c r="G22" s="134" t="s">
        <v>97</v>
      </c>
      <c r="H22" s="137" t="s">
        <v>97</v>
      </c>
      <c r="I22" s="137" t="s">
        <v>97</v>
      </c>
      <c r="J22" s="137" t="s">
        <v>97</v>
      </c>
      <c r="K22" s="137" t="s">
        <v>97</v>
      </c>
      <c r="L22" s="137" t="s">
        <v>97</v>
      </c>
      <c r="M22" s="137" t="s">
        <v>97</v>
      </c>
      <c r="N22" s="137" t="s">
        <v>97</v>
      </c>
      <c r="O22" s="137" t="s">
        <v>97</v>
      </c>
      <c r="P22" s="137" t="s">
        <v>97</v>
      </c>
      <c r="Q22" s="137" t="s">
        <v>97</v>
      </c>
      <c r="R22" s="137" t="s">
        <v>97</v>
      </c>
      <c r="S22" s="137" t="s">
        <v>97</v>
      </c>
      <c r="T22" s="137" t="s">
        <v>97</v>
      </c>
      <c r="U22" s="137" t="s">
        <v>97</v>
      </c>
      <c r="V22" s="137" t="s">
        <v>97</v>
      </c>
      <c r="W22" s="137" t="s">
        <v>97</v>
      </c>
      <c r="X22" s="137" t="s">
        <v>97</v>
      </c>
      <c r="Y22" s="137" t="s">
        <v>97</v>
      </c>
      <c r="Z22" s="137" t="s">
        <v>97</v>
      </c>
      <c r="AA22" s="137" t="s">
        <v>97</v>
      </c>
      <c r="AB22" s="137" t="s">
        <v>97</v>
      </c>
      <c r="AC22" s="137" t="s">
        <v>97</v>
      </c>
      <c r="AD22" s="137" t="s">
        <v>97</v>
      </c>
      <c r="AE22" s="137" t="s">
        <v>97</v>
      </c>
      <c r="AF22" s="137" t="s">
        <v>97</v>
      </c>
      <c r="AG22" s="137" t="s">
        <v>97</v>
      </c>
      <c r="AH22" s="137" t="s">
        <v>97</v>
      </c>
      <c r="AI22" s="137" t="s">
        <v>97</v>
      </c>
      <c r="AJ22" s="137" t="s">
        <v>97</v>
      </c>
      <c r="AK22" s="137" t="s">
        <v>97</v>
      </c>
      <c r="AL22" s="137" t="s">
        <v>97</v>
      </c>
      <c r="AM22" s="137" t="s">
        <v>97</v>
      </c>
      <c r="AN22" s="137" t="s">
        <v>97</v>
      </c>
      <c r="AO22" s="137" t="s">
        <v>97</v>
      </c>
      <c r="AP22" s="137" t="s">
        <v>97</v>
      </c>
      <c r="AQ22" s="137" t="s">
        <v>97</v>
      </c>
      <c r="AR22" s="137" t="s">
        <v>97</v>
      </c>
      <c r="AS22" s="137" t="s">
        <v>97</v>
      </c>
      <c r="AT22" s="137" t="s">
        <v>97</v>
      </c>
      <c r="AU22" s="137" t="s">
        <v>97</v>
      </c>
      <c r="AV22" s="137" t="s">
        <v>97</v>
      </c>
      <c r="AW22" s="137" t="s">
        <v>97</v>
      </c>
      <c r="AX22" s="137" t="s">
        <v>97</v>
      </c>
      <c r="AY22" s="137" t="s">
        <v>97</v>
      </c>
      <c r="AZ22" s="137" t="s">
        <v>97</v>
      </c>
      <c r="BA22" s="137" t="s">
        <v>97</v>
      </c>
      <c r="BB22" s="137" t="s">
        <v>97</v>
      </c>
      <c r="BC22" s="137" t="s">
        <v>97</v>
      </c>
      <c r="BD22" s="137" t="s">
        <v>97</v>
      </c>
      <c r="BE22" s="137" t="s">
        <v>97</v>
      </c>
      <c r="BF22" s="137" t="s">
        <v>97</v>
      </c>
      <c r="BG22" s="137" t="s">
        <v>97</v>
      </c>
      <c r="BH22" s="137" t="s">
        <v>97</v>
      </c>
      <c r="BI22" s="137" t="s">
        <v>97</v>
      </c>
      <c r="BJ22" s="137" t="s">
        <v>97</v>
      </c>
      <c r="BK22" s="137" t="s">
        <v>97</v>
      </c>
      <c r="BL22" s="137" t="s">
        <v>479</v>
      </c>
      <c r="BM22" s="137" t="s">
        <v>97</v>
      </c>
      <c r="BN22" s="137" t="s">
        <v>97</v>
      </c>
      <c r="BO22" s="137" t="s">
        <v>477</v>
      </c>
      <c r="BP22" s="137" t="s">
        <v>97</v>
      </c>
      <c r="BQ22" s="137" t="s">
        <v>97</v>
      </c>
      <c r="BR22" s="137" t="s">
        <v>97</v>
      </c>
      <c r="BS22" s="137" t="s">
        <v>97</v>
      </c>
      <c r="BT22" s="137" t="s">
        <v>97</v>
      </c>
      <c r="BU22" s="137" t="s">
        <v>97</v>
      </c>
      <c r="BV22" s="137" t="s">
        <v>97</v>
      </c>
      <c r="BW22" s="137" t="s">
        <v>97</v>
      </c>
      <c r="BX22" s="137" t="s">
        <v>97</v>
      </c>
      <c r="BY22" s="137" t="s">
        <v>97</v>
      </c>
      <c r="BZ22" s="137" t="s">
        <v>97</v>
      </c>
      <c r="CA22" s="137" t="s">
        <v>97</v>
      </c>
      <c r="CB22" s="137" t="s">
        <v>97</v>
      </c>
      <c r="CC22" s="137" t="s">
        <v>97</v>
      </c>
      <c r="CD22" s="137" t="s">
        <v>97</v>
      </c>
      <c r="CE22" s="137" t="s">
        <v>97</v>
      </c>
      <c r="CF22" s="137" t="s">
        <v>97</v>
      </c>
      <c r="CG22" s="137" t="s">
        <v>97</v>
      </c>
      <c r="CH22" s="137" t="s">
        <v>97</v>
      </c>
      <c r="CI22" s="137" t="s">
        <v>97</v>
      </c>
      <c r="CJ22" s="137" t="s">
        <v>97</v>
      </c>
      <c r="CK22" s="137" t="s">
        <v>479</v>
      </c>
      <c r="CL22" s="137" t="s">
        <v>97</v>
      </c>
      <c r="CM22" s="137" t="s">
        <v>97</v>
      </c>
      <c r="CN22" s="137" t="s">
        <v>97</v>
      </c>
      <c r="CO22" s="137" t="s">
        <v>97</v>
      </c>
      <c r="CP22" s="137" t="s">
        <v>97</v>
      </c>
      <c r="CQ22" s="137" t="s">
        <v>97</v>
      </c>
      <c r="CR22" s="137" t="s">
        <v>97</v>
      </c>
      <c r="CS22" s="137" t="s">
        <v>97</v>
      </c>
      <c r="CT22" s="137" t="s">
        <v>540</v>
      </c>
      <c r="CU22" s="137" t="s">
        <v>97</v>
      </c>
      <c r="CV22" s="137" t="s">
        <v>97</v>
      </c>
      <c r="CW22" s="137" t="s">
        <v>97</v>
      </c>
      <c r="CX22" s="137" t="s">
        <v>97</v>
      </c>
      <c r="CY22" s="137" t="s">
        <v>97</v>
      </c>
      <c r="CZ22" s="137" t="s">
        <v>97</v>
      </c>
      <c r="DA22" s="137" t="s">
        <v>97</v>
      </c>
      <c r="DB22" s="137" t="s">
        <v>97</v>
      </c>
      <c r="DC22" s="137" t="s">
        <v>97</v>
      </c>
      <c r="DD22" s="137" t="s">
        <v>97</v>
      </c>
      <c r="DE22" s="137" t="s">
        <v>97</v>
      </c>
      <c r="DF22" s="137" t="s">
        <v>97</v>
      </c>
      <c r="DG22" s="137" t="s">
        <v>97</v>
      </c>
      <c r="DH22" s="137" t="s">
        <v>97</v>
      </c>
      <c r="DI22" s="137" t="s">
        <v>97</v>
      </c>
      <c r="DJ22" s="137" t="s">
        <v>97</v>
      </c>
      <c r="DK22" s="137" t="s">
        <v>97</v>
      </c>
      <c r="DL22" s="137" t="s">
        <v>97</v>
      </c>
      <c r="DM22" s="137" t="s">
        <v>97</v>
      </c>
      <c r="DN22" s="137" t="s">
        <v>97</v>
      </c>
      <c r="DO22" s="137" t="s">
        <v>97</v>
      </c>
      <c r="DP22" s="137" t="s">
        <v>474</v>
      </c>
      <c r="DW22" s="137" t="s">
        <v>97</v>
      </c>
      <c r="DX22" s="137" t="s">
        <v>97</v>
      </c>
      <c r="DY22" s="137" t="s">
        <v>97</v>
      </c>
      <c r="DZ22" s="137" t="s">
        <v>97</v>
      </c>
    </row>
    <row r="23" spans="1:130" s="185" customFormat="1" outlineLevel="1">
      <c r="A23" s="661"/>
      <c r="B23" s="57" t="str">
        <f t="shared" si="3"/>
        <v xml:space="preserve"> </v>
      </c>
      <c r="C23" s="57" t="str">
        <f t="shared" si="0"/>
        <v xml:space="preserve"> </v>
      </c>
      <c r="D23" s="57" t="str">
        <f t="shared" si="4"/>
        <v xml:space="preserve"> </v>
      </c>
      <c r="E23" s="84" t="str">
        <f t="shared" si="5"/>
        <v xml:space="preserve"> </v>
      </c>
      <c r="F23" s="638"/>
      <c r="G23" s="134" t="s">
        <v>97</v>
      </c>
      <c r="H23" s="137" t="s">
        <v>97</v>
      </c>
      <c r="I23" s="137" t="s">
        <v>97</v>
      </c>
      <c r="J23" s="137" t="s">
        <v>97</v>
      </c>
      <c r="K23" s="137" t="s">
        <v>97</v>
      </c>
      <c r="L23" s="137" t="s">
        <v>97</v>
      </c>
      <c r="M23" s="137" t="s">
        <v>97</v>
      </c>
      <c r="N23" s="137" t="s">
        <v>97</v>
      </c>
      <c r="O23" s="137" t="s">
        <v>97</v>
      </c>
      <c r="P23" s="137" t="s">
        <v>97</v>
      </c>
      <c r="Q23" s="137" t="s">
        <v>97</v>
      </c>
      <c r="R23" s="137" t="s">
        <v>97</v>
      </c>
      <c r="S23" s="137" t="s">
        <v>97</v>
      </c>
      <c r="T23" s="137" t="s">
        <v>97</v>
      </c>
      <c r="U23" s="137" t="s">
        <v>97</v>
      </c>
      <c r="V23" s="137" t="s">
        <v>97</v>
      </c>
      <c r="W23" s="137" t="s">
        <v>97</v>
      </c>
      <c r="X23" s="137" t="s">
        <v>97</v>
      </c>
      <c r="Y23" s="137" t="s">
        <v>97</v>
      </c>
      <c r="Z23" s="137" t="s">
        <v>97</v>
      </c>
      <c r="AA23" s="137" t="s">
        <v>97</v>
      </c>
      <c r="AB23" s="137" t="s">
        <v>97</v>
      </c>
      <c r="AC23" s="137" t="s">
        <v>97</v>
      </c>
      <c r="AD23" s="137" t="s">
        <v>97</v>
      </c>
      <c r="AE23" s="137" t="s">
        <v>97</v>
      </c>
      <c r="AF23" s="137" t="s">
        <v>97</v>
      </c>
      <c r="AG23" s="137" t="s">
        <v>97</v>
      </c>
      <c r="AH23" s="137" t="s">
        <v>97</v>
      </c>
      <c r="AI23" s="137" t="s">
        <v>97</v>
      </c>
      <c r="AJ23" s="137" t="s">
        <v>97</v>
      </c>
      <c r="AK23" s="137" t="s">
        <v>97</v>
      </c>
      <c r="AL23" s="137" t="s">
        <v>97</v>
      </c>
      <c r="AM23" s="137" t="s">
        <v>97</v>
      </c>
      <c r="AN23" s="137" t="s">
        <v>97</v>
      </c>
      <c r="AO23" s="137" t="s">
        <v>97</v>
      </c>
      <c r="AP23" s="137" t="s">
        <v>97</v>
      </c>
      <c r="AQ23" s="137" t="s">
        <v>97</v>
      </c>
      <c r="AR23" s="137" t="s">
        <v>97</v>
      </c>
      <c r="AS23" s="137" t="s">
        <v>97</v>
      </c>
      <c r="AT23" s="137" t="s">
        <v>97</v>
      </c>
      <c r="AU23" s="137" t="s">
        <v>97</v>
      </c>
      <c r="AV23" s="137" t="s">
        <v>97</v>
      </c>
      <c r="AW23" s="137" t="s">
        <v>97</v>
      </c>
      <c r="AX23" s="137" t="s">
        <v>97</v>
      </c>
      <c r="AY23" s="137" t="s">
        <v>97</v>
      </c>
      <c r="AZ23" s="137" t="s">
        <v>97</v>
      </c>
      <c r="BA23" s="137" t="s">
        <v>97</v>
      </c>
      <c r="BB23" s="137" t="s">
        <v>97</v>
      </c>
      <c r="BC23" s="137" t="s">
        <v>97</v>
      </c>
      <c r="BD23" s="137" t="s">
        <v>97</v>
      </c>
      <c r="BE23" s="137" t="s">
        <v>97</v>
      </c>
      <c r="BF23" s="137" t="s">
        <v>97</v>
      </c>
      <c r="BG23" s="137" t="s">
        <v>97</v>
      </c>
      <c r="BH23" s="137" t="s">
        <v>97</v>
      </c>
      <c r="BI23" s="137" t="s">
        <v>97</v>
      </c>
      <c r="BJ23" s="137" t="s">
        <v>97</v>
      </c>
      <c r="BK23" s="137" t="s">
        <v>97</v>
      </c>
      <c r="BL23" s="137" t="s">
        <v>97</v>
      </c>
      <c r="BM23" s="137" t="s">
        <v>97</v>
      </c>
      <c r="BN23" s="137" t="s">
        <v>97</v>
      </c>
      <c r="BO23" s="137" t="s">
        <v>97</v>
      </c>
      <c r="BP23" s="137" t="s">
        <v>97</v>
      </c>
      <c r="BQ23" s="137" t="s">
        <v>97</v>
      </c>
      <c r="BR23" s="137" t="s">
        <v>97</v>
      </c>
      <c r="BS23" s="137" t="s">
        <v>97</v>
      </c>
      <c r="BT23" s="137" t="s">
        <v>97</v>
      </c>
      <c r="BU23" s="137" t="s">
        <v>97</v>
      </c>
      <c r="BV23" s="137" t="s">
        <v>97</v>
      </c>
      <c r="BW23" s="137" t="s">
        <v>97</v>
      </c>
      <c r="BX23" s="137" t="s">
        <v>97</v>
      </c>
      <c r="BY23" s="137" t="s">
        <v>97</v>
      </c>
      <c r="BZ23" s="137" t="s">
        <v>97</v>
      </c>
      <c r="CA23" s="137" t="s">
        <v>97</v>
      </c>
      <c r="CB23" s="137" t="s">
        <v>97</v>
      </c>
      <c r="CC23" s="137" t="s">
        <v>97</v>
      </c>
      <c r="CD23" s="137" t="s">
        <v>97</v>
      </c>
      <c r="CE23" s="137" t="s">
        <v>97</v>
      </c>
      <c r="CF23" s="137" t="s">
        <v>97</v>
      </c>
      <c r="CG23" s="137" t="s">
        <v>97</v>
      </c>
      <c r="CH23" s="137" t="s">
        <v>97</v>
      </c>
      <c r="CI23" s="137" t="s">
        <v>97</v>
      </c>
      <c r="CJ23" s="137" t="s">
        <v>97</v>
      </c>
      <c r="CK23" s="137" t="s">
        <v>480</v>
      </c>
      <c r="CL23" s="137" t="s">
        <v>97</v>
      </c>
      <c r="CM23" s="137" t="s">
        <v>97</v>
      </c>
      <c r="CN23" s="137" t="s">
        <v>97</v>
      </c>
      <c r="CO23" s="137" t="s">
        <v>97</v>
      </c>
      <c r="CP23" s="137" t="s">
        <v>97</v>
      </c>
      <c r="CQ23" s="137" t="s">
        <v>97</v>
      </c>
      <c r="CR23" s="137" t="s">
        <v>97</v>
      </c>
      <c r="CS23" s="137" t="s">
        <v>97</v>
      </c>
      <c r="CT23" s="137" t="s">
        <v>477</v>
      </c>
      <c r="CU23" s="137" t="s">
        <v>97</v>
      </c>
      <c r="CV23" s="137" t="s">
        <v>97</v>
      </c>
      <c r="CW23" s="137" t="s">
        <v>97</v>
      </c>
      <c r="CX23" s="137" t="s">
        <v>97</v>
      </c>
      <c r="CY23" s="137" t="s">
        <v>97</v>
      </c>
      <c r="CZ23" s="137" t="s">
        <v>97</v>
      </c>
      <c r="DA23" s="137" t="s">
        <v>97</v>
      </c>
      <c r="DB23" s="137" t="s">
        <v>97</v>
      </c>
      <c r="DC23" s="137" t="s">
        <v>97</v>
      </c>
      <c r="DD23" s="137" t="s">
        <v>97</v>
      </c>
      <c r="DE23" s="137" t="s">
        <v>97</v>
      </c>
      <c r="DF23" s="137" t="s">
        <v>97</v>
      </c>
      <c r="DG23" s="137" t="s">
        <v>97</v>
      </c>
      <c r="DH23" s="137" t="s">
        <v>97</v>
      </c>
      <c r="DI23" s="137" t="s">
        <v>97</v>
      </c>
      <c r="DJ23" s="137" t="s">
        <v>97</v>
      </c>
      <c r="DK23" s="137" t="s">
        <v>97</v>
      </c>
      <c r="DL23" s="137" t="s">
        <v>97</v>
      </c>
      <c r="DM23" s="137" t="s">
        <v>97</v>
      </c>
      <c r="DN23" s="137" t="s">
        <v>97</v>
      </c>
      <c r="DO23" s="137" t="s">
        <v>97</v>
      </c>
      <c r="DP23" s="137" t="s">
        <v>477</v>
      </c>
      <c r="DW23" s="137" t="s">
        <v>97</v>
      </c>
      <c r="DX23" s="137" t="s">
        <v>97</v>
      </c>
      <c r="DY23" s="137" t="s">
        <v>97</v>
      </c>
      <c r="DZ23" s="137" t="s">
        <v>97</v>
      </c>
    </row>
    <row r="24" spans="1:130" s="185" customFormat="1" outlineLevel="1">
      <c r="A24" s="661"/>
      <c r="B24" s="57" t="str">
        <f t="shared" si="3"/>
        <v xml:space="preserve"> </v>
      </c>
      <c r="C24" s="57" t="str">
        <f t="shared" si="0"/>
        <v xml:space="preserve"> </v>
      </c>
      <c r="D24" s="57" t="str">
        <f t="shared" si="4"/>
        <v xml:space="preserve"> </v>
      </c>
      <c r="E24" s="84" t="str">
        <f t="shared" si="5"/>
        <v xml:space="preserve"> </v>
      </c>
      <c r="F24" s="638"/>
      <c r="G24" s="134" t="s">
        <v>97</v>
      </c>
      <c r="H24" s="137" t="s">
        <v>97</v>
      </c>
      <c r="I24" s="137" t="s">
        <v>97</v>
      </c>
      <c r="J24" s="137" t="s">
        <v>97</v>
      </c>
      <c r="K24" s="137" t="s">
        <v>97</v>
      </c>
      <c r="L24" s="137" t="s">
        <v>97</v>
      </c>
      <c r="M24" s="137" t="s">
        <v>97</v>
      </c>
      <c r="N24" s="137" t="s">
        <v>97</v>
      </c>
      <c r="O24" s="137" t="s">
        <v>97</v>
      </c>
      <c r="P24" s="137" t="s">
        <v>97</v>
      </c>
      <c r="Q24" s="137" t="s">
        <v>97</v>
      </c>
      <c r="R24" s="137" t="s">
        <v>97</v>
      </c>
      <c r="S24" s="137" t="s">
        <v>97</v>
      </c>
      <c r="T24" s="137" t="s">
        <v>97</v>
      </c>
      <c r="U24" s="137" t="s">
        <v>97</v>
      </c>
      <c r="V24" s="137" t="s">
        <v>97</v>
      </c>
      <c r="W24" s="137" t="s">
        <v>97</v>
      </c>
      <c r="X24" s="137" t="s">
        <v>97</v>
      </c>
      <c r="Y24" s="137" t="s">
        <v>97</v>
      </c>
      <c r="Z24" s="137" t="s">
        <v>97</v>
      </c>
      <c r="AA24" s="137" t="s">
        <v>97</v>
      </c>
      <c r="AB24" s="137" t="s">
        <v>97</v>
      </c>
      <c r="AC24" s="137" t="s">
        <v>97</v>
      </c>
      <c r="AD24" s="137" t="s">
        <v>97</v>
      </c>
      <c r="AE24" s="137" t="s">
        <v>97</v>
      </c>
      <c r="AF24" s="137" t="s">
        <v>97</v>
      </c>
      <c r="AG24" s="137" t="s">
        <v>97</v>
      </c>
      <c r="AH24" s="137" t="s">
        <v>97</v>
      </c>
      <c r="AI24" s="137" t="s">
        <v>97</v>
      </c>
      <c r="AJ24" s="137" t="s">
        <v>97</v>
      </c>
      <c r="AK24" s="137" t="s">
        <v>97</v>
      </c>
      <c r="AL24" s="137" t="s">
        <v>97</v>
      </c>
      <c r="AM24" s="137" t="s">
        <v>97</v>
      </c>
      <c r="AN24" s="137" t="s">
        <v>97</v>
      </c>
      <c r="AO24" s="137" t="s">
        <v>97</v>
      </c>
      <c r="AP24" s="137" t="s">
        <v>97</v>
      </c>
      <c r="AQ24" s="137" t="s">
        <v>97</v>
      </c>
      <c r="AR24" s="137" t="s">
        <v>97</v>
      </c>
      <c r="AS24" s="137" t="s">
        <v>97</v>
      </c>
      <c r="AT24" s="137" t="s">
        <v>97</v>
      </c>
      <c r="AU24" s="137" t="s">
        <v>97</v>
      </c>
      <c r="AV24" s="137" t="s">
        <v>97</v>
      </c>
      <c r="AW24" s="137" t="s">
        <v>97</v>
      </c>
      <c r="AX24" s="137" t="s">
        <v>97</v>
      </c>
      <c r="AY24" s="137" t="s">
        <v>97</v>
      </c>
      <c r="AZ24" s="137" t="s">
        <v>97</v>
      </c>
      <c r="BA24" s="137" t="s">
        <v>97</v>
      </c>
      <c r="BB24" s="137" t="s">
        <v>97</v>
      </c>
      <c r="BC24" s="137" t="s">
        <v>97</v>
      </c>
      <c r="BD24" s="137" t="s">
        <v>97</v>
      </c>
      <c r="BE24" s="137" t="s">
        <v>97</v>
      </c>
      <c r="BF24" s="137" t="s">
        <v>97</v>
      </c>
      <c r="BG24" s="137" t="s">
        <v>97</v>
      </c>
      <c r="BH24" s="137" t="s">
        <v>97</v>
      </c>
      <c r="BI24" s="137" t="s">
        <v>97</v>
      </c>
      <c r="BJ24" s="137" t="s">
        <v>97</v>
      </c>
      <c r="BK24" s="137" t="s">
        <v>97</v>
      </c>
      <c r="BL24" s="137" t="s">
        <v>97</v>
      </c>
      <c r="BM24" s="137" t="s">
        <v>97</v>
      </c>
      <c r="BN24" s="137" t="s">
        <v>97</v>
      </c>
      <c r="BO24" s="137" t="s">
        <v>97</v>
      </c>
      <c r="BP24" s="137" t="s">
        <v>97</v>
      </c>
      <c r="BQ24" s="137" t="s">
        <v>97</v>
      </c>
      <c r="BR24" s="137" t="s">
        <v>97</v>
      </c>
      <c r="BS24" s="137" t="s">
        <v>97</v>
      </c>
      <c r="BT24" s="137" t="s">
        <v>97</v>
      </c>
      <c r="BU24" s="137" t="s">
        <v>97</v>
      </c>
      <c r="BV24" s="137" t="s">
        <v>97</v>
      </c>
      <c r="BW24" s="137" t="s">
        <v>97</v>
      </c>
      <c r="BX24" s="137" t="s">
        <v>97</v>
      </c>
      <c r="BY24" s="137" t="s">
        <v>97</v>
      </c>
      <c r="BZ24" s="137" t="s">
        <v>97</v>
      </c>
      <c r="CA24" s="137" t="s">
        <v>97</v>
      </c>
      <c r="CB24" s="137" t="s">
        <v>97</v>
      </c>
      <c r="CC24" s="137" t="s">
        <v>97</v>
      </c>
      <c r="CD24" s="137" t="s">
        <v>97</v>
      </c>
      <c r="CE24" s="137" t="s">
        <v>97</v>
      </c>
      <c r="CF24" s="137" t="s">
        <v>97</v>
      </c>
      <c r="CG24" s="137" t="s">
        <v>97</v>
      </c>
      <c r="CH24" s="137" t="s">
        <v>97</v>
      </c>
      <c r="CI24" s="137" t="s">
        <v>97</v>
      </c>
      <c r="CJ24" s="137" t="s">
        <v>97</v>
      </c>
      <c r="CK24" s="137" t="s">
        <v>97</v>
      </c>
      <c r="CL24" s="137" t="s">
        <v>97</v>
      </c>
      <c r="CM24" s="137" t="s">
        <v>97</v>
      </c>
      <c r="CN24" s="137" t="s">
        <v>97</v>
      </c>
      <c r="CO24" s="137" t="s">
        <v>97</v>
      </c>
      <c r="CP24" s="137" t="s">
        <v>97</v>
      </c>
      <c r="CQ24" s="137" t="s">
        <v>97</v>
      </c>
      <c r="CR24" s="137" t="s">
        <v>97</v>
      </c>
      <c r="CS24" s="137" t="s">
        <v>97</v>
      </c>
      <c r="CT24" s="137" t="s">
        <v>97</v>
      </c>
      <c r="CU24" s="137" t="s">
        <v>97</v>
      </c>
      <c r="CV24" s="137" t="s">
        <v>97</v>
      </c>
      <c r="CW24" s="137" t="s">
        <v>97</v>
      </c>
      <c r="CX24" s="137" t="s">
        <v>97</v>
      </c>
      <c r="CY24" s="137" t="s">
        <v>97</v>
      </c>
      <c r="CZ24" s="137" t="s">
        <v>97</v>
      </c>
      <c r="DA24" s="137" t="s">
        <v>97</v>
      </c>
      <c r="DB24" s="137" t="s">
        <v>97</v>
      </c>
      <c r="DC24" s="137" t="s">
        <v>97</v>
      </c>
      <c r="DD24" s="137" t="s">
        <v>97</v>
      </c>
      <c r="DE24" s="137" t="s">
        <v>97</v>
      </c>
      <c r="DF24" s="137" t="s">
        <v>97</v>
      </c>
      <c r="DG24" s="137" t="s">
        <v>97</v>
      </c>
      <c r="DH24" s="137" t="s">
        <v>97</v>
      </c>
      <c r="DI24" s="137" t="s">
        <v>97</v>
      </c>
      <c r="DJ24" s="137" t="s">
        <v>97</v>
      </c>
      <c r="DK24" s="137" t="s">
        <v>97</v>
      </c>
      <c r="DL24" s="137" t="s">
        <v>97</v>
      </c>
      <c r="DM24" s="137" t="s">
        <v>97</v>
      </c>
      <c r="DN24" s="137" t="s">
        <v>97</v>
      </c>
      <c r="DO24" s="137" t="s">
        <v>97</v>
      </c>
      <c r="DP24" s="137" t="s">
        <v>97</v>
      </c>
      <c r="DW24" s="137" t="s">
        <v>97</v>
      </c>
      <c r="DX24" s="137" t="s">
        <v>97</v>
      </c>
      <c r="DY24" s="137" t="s">
        <v>97</v>
      </c>
      <c r="DZ24" s="137" t="s">
        <v>97</v>
      </c>
    </row>
    <row r="25" spans="1:130" s="185" customFormat="1" outlineLevel="1">
      <c r="A25" s="661"/>
      <c r="B25" s="57" t="str">
        <f t="shared" si="3"/>
        <v xml:space="preserve"> </v>
      </c>
      <c r="C25" s="57" t="str">
        <f t="shared" si="0"/>
        <v xml:space="preserve"> </v>
      </c>
      <c r="D25" s="57" t="str">
        <f t="shared" si="4"/>
        <v xml:space="preserve"> </v>
      </c>
      <c r="E25" s="84" t="str">
        <f t="shared" si="5"/>
        <v xml:space="preserve"> </v>
      </c>
      <c r="F25" s="638"/>
      <c r="G25" s="134" t="s">
        <v>97</v>
      </c>
      <c r="H25" s="137" t="s">
        <v>97</v>
      </c>
      <c r="I25" s="137" t="s">
        <v>97</v>
      </c>
      <c r="J25" s="137" t="s">
        <v>97</v>
      </c>
      <c r="K25" s="137" t="s">
        <v>97</v>
      </c>
      <c r="L25" s="137" t="s">
        <v>97</v>
      </c>
      <c r="M25" s="137" t="s">
        <v>97</v>
      </c>
      <c r="N25" s="137" t="s">
        <v>97</v>
      </c>
      <c r="O25" s="137" t="s">
        <v>97</v>
      </c>
      <c r="P25" s="137" t="s">
        <v>97</v>
      </c>
      <c r="Q25" s="137" t="s">
        <v>97</v>
      </c>
      <c r="R25" s="137" t="s">
        <v>97</v>
      </c>
      <c r="S25" s="137" t="s">
        <v>97</v>
      </c>
      <c r="T25" s="137" t="s">
        <v>97</v>
      </c>
      <c r="U25" s="137" t="s">
        <v>97</v>
      </c>
      <c r="V25" s="137" t="s">
        <v>97</v>
      </c>
      <c r="W25" s="137" t="s">
        <v>97</v>
      </c>
      <c r="X25" s="137" t="s">
        <v>97</v>
      </c>
      <c r="Y25" s="137" t="s">
        <v>97</v>
      </c>
      <c r="Z25" s="137" t="s">
        <v>97</v>
      </c>
      <c r="AA25" s="137" t="s">
        <v>97</v>
      </c>
      <c r="AB25" s="137" t="s">
        <v>97</v>
      </c>
      <c r="AC25" s="137" t="s">
        <v>97</v>
      </c>
      <c r="AD25" s="137" t="s">
        <v>97</v>
      </c>
      <c r="AE25" s="137" t="s">
        <v>97</v>
      </c>
      <c r="AF25" s="137" t="s">
        <v>97</v>
      </c>
      <c r="AG25" s="137" t="s">
        <v>97</v>
      </c>
      <c r="AH25" s="137" t="s">
        <v>97</v>
      </c>
      <c r="AI25" s="137" t="s">
        <v>97</v>
      </c>
      <c r="AJ25" s="137" t="s">
        <v>97</v>
      </c>
      <c r="AK25" s="137" t="s">
        <v>97</v>
      </c>
      <c r="AL25" s="137" t="s">
        <v>97</v>
      </c>
      <c r="AM25" s="137" t="s">
        <v>97</v>
      </c>
      <c r="AN25" s="137" t="s">
        <v>97</v>
      </c>
      <c r="AO25" s="137" t="s">
        <v>97</v>
      </c>
      <c r="AP25" s="137" t="s">
        <v>97</v>
      </c>
      <c r="AQ25" s="137" t="s">
        <v>97</v>
      </c>
      <c r="AR25" s="137" t="s">
        <v>97</v>
      </c>
      <c r="AS25" s="137" t="s">
        <v>97</v>
      </c>
      <c r="AT25" s="137" t="s">
        <v>97</v>
      </c>
      <c r="AU25" s="137" t="s">
        <v>97</v>
      </c>
      <c r="AV25" s="137" t="s">
        <v>97</v>
      </c>
      <c r="AW25" s="137" t="s">
        <v>97</v>
      </c>
      <c r="AX25" s="137" t="s">
        <v>97</v>
      </c>
      <c r="AY25" s="137" t="s">
        <v>97</v>
      </c>
      <c r="AZ25" s="137" t="s">
        <v>97</v>
      </c>
      <c r="BA25" s="137" t="s">
        <v>97</v>
      </c>
      <c r="BB25" s="137" t="s">
        <v>97</v>
      </c>
      <c r="BC25" s="137" t="s">
        <v>97</v>
      </c>
      <c r="BD25" s="137" t="s">
        <v>97</v>
      </c>
      <c r="BE25" s="137" t="s">
        <v>97</v>
      </c>
      <c r="BF25" s="137" t="s">
        <v>97</v>
      </c>
      <c r="BG25" s="137" t="s">
        <v>97</v>
      </c>
      <c r="BH25" s="137" t="s">
        <v>97</v>
      </c>
      <c r="BI25" s="137" t="s">
        <v>97</v>
      </c>
      <c r="BJ25" s="137" t="s">
        <v>97</v>
      </c>
      <c r="BK25" s="137" t="s">
        <v>97</v>
      </c>
      <c r="BL25" s="137" t="s">
        <v>97</v>
      </c>
      <c r="BM25" s="137" t="s">
        <v>97</v>
      </c>
      <c r="BN25" s="137" t="s">
        <v>97</v>
      </c>
      <c r="BO25" s="137" t="s">
        <v>97</v>
      </c>
      <c r="BP25" s="137" t="s">
        <v>97</v>
      </c>
      <c r="BQ25" s="137" t="s">
        <v>97</v>
      </c>
      <c r="BR25" s="137" t="s">
        <v>97</v>
      </c>
      <c r="BS25" s="137" t="s">
        <v>97</v>
      </c>
      <c r="BT25" s="137" t="s">
        <v>97</v>
      </c>
      <c r="BU25" s="137" t="s">
        <v>97</v>
      </c>
      <c r="BV25" s="137" t="s">
        <v>97</v>
      </c>
      <c r="BW25" s="137" t="s">
        <v>97</v>
      </c>
      <c r="BX25" s="137" t="s">
        <v>97</v>
      </c>
      <c r="BY25" s="137" t="s">
        <v>97</v>
      </c>
      <c r="BZ25" s="137" t="s">
        <v>97</v>
      </c>
      <c r="CA25" s="137" t="s">
        <v>97</v>
      </c>
      <c r="CB25" s="137" t="s">
        <v>97</v>
      </c>
      <c r="CC25" s="137" t="s">
        <v>97</v>
      </c>
      <c r="CD25" s="137" t="s">
        <v>97</v>
      </c>
      <c r="CE25" s="137" t="s">
        <v>97</v>
      </c>
      <c r="CF25" s="137" t="s">
        <v>97</v>
      </c>
      <c r="CG25" s="137" t="s">
        <v>97</v>
      </c>
      <c r="CH25" s="137" t="s">
        <v>97</v>
      </c>
      <c r="CI25" s="137" t="s">
        <v>97</v>
      </c>
      <c r="CJ25" s="137" t="s">
        <v>97</v>
      </c>
      <c r="CK25" s="137" t="s">
        <v>97</v>
      </c>
      <c r="CL25" s="137" t="s">
        <v>97</v>
      </c>
      <c r="CM25" s="137" t="s">
        <v>97</v>
      </c>
      <c r="CN25" s="137" t="s">
        <v>97</v>
      </c>
      <c r="CO25" s="137" t="s">
        <v>97</v>
      </c>
      <c r="CP25" s="137" t="s">
        <v>97</v>
      </c>
      <c r="CQ25" s="137" t="s">
        <v>97</v>
      </c>
      <c r="CR25" s="137" t="s">
        <v>97</v>
      </c>
      <c r="CS25" s="137" t="s">
        <v>97</v>
      </c>
      <c r="CT25" s="137" t="s">
        <v>97</v>
      </c>
      <c r="CU25" s="137" t="s">
        <v>97</v>
      </c>
      <c r="CV25" s="137" t="s">
        <v>97</v>
      </c>
      <c r="CW25" s="137" t="s">
        <v>97</v>
      </c>
      <c r="CX25" s="137" t="s">
        <v>97</v>
      </c>
      <c r="CY25" s="137" t="s">
        <v>97</v>
      </c>
      <c r="CZ25" s="137" t="s">
        <v>97</v>
      </c>
      <c r="DA25" s="137" t="s">
        <v>97</v>
      </c>
      <c r="DB25" s="137" t="s">
        <v>97</v>
      </c>
      <c r="DC25" s="137" t="s">
        <v>97</v>
      </c>
      <c r="DD25" s="137" t="s">
        <v>97</v>
      </c>
      <c r="DE25" s="137" t="s">
        <v>97</v>
      </c>
      <c r="DF25" s="137" t="s">
        <v>97</v>
      </c>
      <c r="DG25" s="137" t="s">
        <v>97</v>
      </c>
      <c r="DH25" s="137" t="s">
        <v>97</v>
      </c>
      <c r="DI25" s="137" t="s">
        <v>97</v>
      </c>
      <c r="DJ25" s="137" t="s">
        <v>97</v>
      </c>
      <c r="DK25" s="137" t="s">
        <v>97</v>
      </c>
      <c r="DL25" s="137" t="s">
        <v>97</v>
      </c>
      <c r="DM25" s="137" t="s">
        <v>97</v>
      </c>
      <c r="DN25" s="137" t="s">
        <v>97</v>
      </c>
      <c r="DO25" s="137" t="s">
        <v>97</v>
      </c>
      <c r="DP25" s="137" t="s">
        <v>97</v>
      </c>
      <c r="DW25" s="137" t="s">
        <v>97</v>
      </c>
      <c r="DX25" s="137" t="s">
        <v>97</v>
      </c>
      <c r="DY25" s="137" t="s">
        <v>97</v>
      </c>
      <c r="DZ25" s="137" t="s">
        <v>97</v>
      </c>
    </row>
    <row r="26" spans="1:130" s="185" customFormat="1" outlineLevel="1">
      <c r="A26" s="661"/>
      <c r="B26" s="57" t="str">
        <f t="shared" si="3"/>
        <v xml:space="preserve"> </v>
      </c>
      <c r="C26" s="57" t="str">
        <f t="shared" si="0"/>
        <v xml:space="preserve"> </v>
      </c>
      <c r="D26" s="57" t="str">
        <f t="shared" si="4"/>
        <v xml:space="preserve"> </v>
      </c>
      <c r="E26" s="84" t="str">
        <f t="shared" si="5"/>
        <v xml:space="preserve"> </v>
      </c>
      <c r="F26" s="638"/>
      <c r="G26" s="134" t="s">
        <v>97</v>
      </c>
      <c r="H26" s="137" t="s">
        <v>97</v>
      </c>
      <c r="I26" s="137" t="s">
        <v>97</v>
      </c>
      <c r="J26" s="137" t="s">
        <v>97</v>
      </c>
      <c r="K26" s="137" t="s">
        <v>97</v>
      </c>
      <c r="L26" s="137" t="s">
        <v>97</v>
      </c>
      <c r="M26" s="137" t="s">
        <v>97</v>
      </c>
      <c r="N26" s="137" t="s">
        <v>97</v>
      </c>
      <c r="O26" s="137" t="s">
        <v>97</v>
      </c>
      <c r="P26" s="137" t="s">
        <v>97</v>
      </c>
      <c r="Q26" s="137" t="s">
        <v>97</v>
      </c>
      <c r="R26" s="137" t="s">
        <v>97</v>
      </c>
      <c r="S26" s="137" t="s">
        <v>97</v>
      </c>
      <c r="T26" s="137" t="s">
        <v>97</v>
      </c>
      <c r="U26" s="137" t="s">
        <v>97</v>
      </c>
      <c r="V26" s="137" t="s">
        <v>97</v>
      </c>
      <c r="W26" s="137" t="s">
        <v>97</v>
      </c>
      <c r="X26" s="137" t="s">
        <v>97</v>
      </c>
      <c r="Y26" s="137" t="s">
        <v>97</v>
      </c>
      <c r="Z26" s="137" t="s">
        <v>97</v>
      </c>
      <c r="AA26" s="137" t="s">
        <v>97</v>
      </c>
      <c r="AB26" s="137" t="s">
        <v>97</v>
      </c>
      <c r="AC26" s="137" t="s">
        <v>97</v>
      </c>
      <c r="AD26" s="137" t="s">
        <v>97</v>
      </c>
      <c r="AE26" s="137" t="s">
        <v>97</v>
      </c>
      <c r="AF26" s="137" t="s">
        <v>97</v>
      </c>
      <c r="AG26" s="137" t="s">
        <v>97</v>
      </c>
      <c r="AH26" s="137" t="s">
        <v>97</v>
      </c>
      <c r="AI26" s="137" t="s">
        <v>97</v>
      </c>
      <c r="AJ26" s="137" t="s">
        <v>97</v>
      </c>
      <c r="AK26" s="137" t="s">
        <v>97</v>
      </c>
      <c r="AL26" s="137" t="s">
        <v>97</v>
      </c>
      <c r="AM26" s="137" t="s">
        <v>97</v>
      </c>
      <c r="AN26" s="137" t="s">
        <v>97</v>
      </c>
      <c r="AO26" s="137" t="s">
        <v>97</v>
      </c>
      <c r="AP26" s="137" t="s">
        <v>97</v>
      </c>
      <c r="AQ26" s="137" t="s">
        <v>97</v>
      </c>
      <c r="AR26" s="137" t="s">
        <v>97</v>
      </c>
      <c r="AS26" s="137" t="s">
        <v>97</v>
      </c>
      <c r="AT26" s="137" t="s">
        <v>97</v>
      </c>
      <c r="AU26" s="137" t="s">
        <v>97</v>
      </c>
      <c r="AV26" s="137" t="s">
        <v>97</v>
      </c>
      <c r="AW26" s="137" t="s">
        <v>97</v>
      </c>
      <c r="AX26" s="137" t="s">
        <v>97</v>
      </c>
      <c r="AY26" s="137" t="s">
        <v>97</v>
      </c>
      <c r="AZ26" s="137" t="s">
        <v>97</v>
      </c>
      <c r="BA26" s="137" t="s">
        <v>97</v>
      </c>
      <c r="BB26" s="137" t="s">
        <v>97</v>
      </c>
      <c r="BC26" s="137" t="s">
        <v>97</v>
      </c>
      <c r="BD26" s="137" t="s">
        <v>97</v>
      </c>
      <c r="BE26" s="137" t="s">
        <v>97</v>
      </c>
      <c r="BF26" s="137" t="s">
        <v>97</v>
      </c>
      <c r="BG26" s="137" t="s">
        <v>97</v>
      </c>
      <c r="BH26" s="137" t="s">
        <v>97</v>
      </c>
      <c r="BI26" s="137" t="s">
        <v>97</v>
      </c>
      <c r="BJ26" s="137" t="s">
        <v>97</v>
      </c>
      <c r="BK26" s="137" t="s">
        <v>97</v>
      </c>
      <c r="BL26" s="137" t="s">
        <v>97</v>
      </c>
      <c r="BM26" s="137" t="s">
        <v>97</v>
      </c>
      <c r="BN26" s="137" t="s">
        <v>97</v>
      </c>
      <c r="BO26" s="137" t="s">
        <v>97</v>
      </c>
      <c r="BP26" s="137" t="s">
        <v>97</v>
      </c>
      <c r="BQ26" s="137" t="s">
        <v>97</v>
      </c>
      <c r="BR26" s="137" t="s">
        <v>97</v>
      </c>
      <c r="BS26" s="137" t="s">
        <v>97</v>
      </c>
      <c r="BT26" s="137" t="s">
        <v>97</v>
      </c>
      <c r="BU26" s="137" t="s">
        <v>97</v>
      </c>
      <c r="BV26" s="137" t="s">
        <v>97</v>
      </c>
      <c r="BW26" s="137" t="s">
        <v>97</v>
      </c>
      <c r="BX26" s="137" t="s">
        <v>97</v>
      </c>
      <c r="BY26" s="137" t="s">
        <v>97</v>
      </c>
      <c r="BZ26" s="137" t="s">
        <v>97</v>
      </c>
      <c r="CA26" s="137" t="s">
        <v>97</v>
      </c>
      <c r="CB26" s="137" t="s">
        <v>97</v>
      </c>
      <c r="CC26" s="137" t="s">
        <v>97</v>
      </c>
      <c r="CD26" s="137" t="s">
        <v>97</v>
      </c>
      <c r="CE26" s="137" t="s">
        <v>97</v>
      </c>
      <c r="CF26" s="137" t="s">
        <v>97</v>
      </c>
      <c r="CG26" s="137" t="s">
        <v>97</v>
      </c>
      <c r="CH26" s="137" t="s">
        <v>97</v>
      </c>
      <c r="CI26" s="137" t="s">
        <v>97</v>
      </c>
      <c r="CJ26" s="137" t="s">
        <v>97</v>
      </c>
      <c r="CK26" s="137" t="s">
        <v>97</v>
      </c>
      <c r="CL26" s="137" t="s">
        <v>97</v>
      </c>
      <c r="CM26" s="137" t="s">
        <v>97</v>
      </c>
      <c r="CN26" s="137" t="s">
        <v>97</v>
      </c>
      <c r="CO26" s="137" t="s">
        <v>97</v>
      </c>
      <c r="CP26" s="137" t="s">
        <v>97</v>
      </c>
      <c r="CQ26" s="137" t="s">
        <v>97</v>
      </c>
      <c r="CR26" s="137" t="s">
        <v>97</v>
      </c>
      <c r="CS26" s="137" t="s">
        <v>97</v>
      </c>
      <c r="CT26" s="137" t="s">
        <v>97</v>
      </c>
      <c r="CU26" s="137" t="s">
        <v>97</v>
      </c>
      <c r="CV26" s="137" t="s">
        <v>97</v>
      </c>
      <c r="CW26" s="137" t="s">
        <v>97</v>
      </c>
      <c r="CX26" s="137" t="s">
        <v>97</v>
      </c>
      <c r="CY26" s="137" t="s">
        <v>97</v>
      </c>
      <c r="CZ26" s="137" t="s">
        <v>97</v>
      </c>
      <c r="DA26" s="137" t="s">
        <v>97</v>
      </c>
      <c r="DB26" s="137" t="s">
        <v>97</v>
      </c>
      <c r="DC26" s="137" t="s">
        <v>97</v>
      </c>
      <c r="DD26" s="137" t="s">
        <v>97</v>
      </c>
      <c r="DE26" s="137" t="s">
        <v>97</v>
      </c>
      <c r="DF26" s="137" t="s">
        <v>97</v>
      </c>
      <c r="DG26" s="137" t="s">
        <v>97</v>
      </c>
      <c r="DH26" s="137" t="s">
        <v>97</v>
      </c>
      <c r="DI26" s="137" t="s">
        <v>97</v>
      </c>
      <c r="DJ26" s="137" t="s">
        <v>97</v>
      </c>
      <c r="DK26" s="137" t="s">
        <v>97</v>
      </c>
      <c r="DL26" s="137" t="s">
        <v>97</v>
      </c>
      <c r="DM26" s="137" t="s">
        <v>97</v>
      </c>
      <c r="DN26" s="137" t="s">
        <v>97</v>
      </c>
      <c r="DO26" s="137" t="s">
        <v>97</v>
      </c>
      <c r="DP26" s="137" t="s">
        <v>97</v>
      </c>
      <c r="DW26" s="137" t="s">
        <v>97</v>
      </c>
      <c r="DX26" s="137" t="s">
        <v>97</v>
      </c>
      <c r="DY26" s="137" t="s">
        <v>97</v>
      </c>
      <c r="DZ26" s="137" t="s">
        <v>97</v>
      </c>
    </row>
    <row r="27" spans="1:130" s="185" customFormat="1" outlineLevel="1">
      <c r="A27" s="661"/>
      <c r="B27" s="57" t="str">
        <f t="shared" si="3"/>
        <v xml:space="preserve"> </v>
      </c>
      <c r="C27" s="57" t="str">
        <f t="shared" si="0"/>
        <v xml:space="preserve"> </v>
      </c>
      <c r="D27" s="57" t="str">
        <f t="shared" si="4"/>
        <v xml:space="preserve"> </v>
      </c>
      <c r="E27" s="84" t="str">
        <f t="shared" si="5"/>
        <v xml:space="preserve"> </v>
      </c>
      <c r="F27" s="638"/>
      <c r="G27" s="134" t="s">
        <v>97</v>
      </c>
      <c r="H27" s="137" t="s">
        <v>97</v>
      </c>
      <c r="I27" s="137" t="s">
        <v>97</v>
      </c>
      <c r="J27" s="137" t="s">
        <v>97</v>
      </c>
      <c r="K27" s="137" t="s">
        <v>97</v>
      </c>
      <c r="L27" s="137" t="s">
        <v>97</v>
      </c>
      <c r="M27" s="137" t="s">
        <v>97</v>
      </c>
      <c r="N27" s="137" t="s">
        <v>97</v>
      </c>
      <c r="O27" s="137" t="s">
        <v>97</v>
      </c>
      <c r="P27" s="137" t="s">
        <v>97</v>
      </c>
      <c r="Q27" s="137" t="s">
        <v>97</v>
      </c>
      <c r="R27" s="137" t="s">
        <v>97</v>
      </c>
      <c r="S27" s="137" t="s">
        <v>97</v>
      </c>
      <c r="T27" s="137" t="s">
        <v>97</v>
      </c>
      <c r="U27" s="137" t="s">
        <v>97</v>
      </c>
      <c r="V27" s="137" t="s">
        <v>97</v>
      </c>
      <c r="W27" s="137" t="s">
        <v>97</v>
      </c>
      <c r="X27" s="137" t="s">
        <v>97</v>
      </c>
      <c r="Y27" s="137" t="s">
        <v>97</v>
      </c>
      <c r="Z27" s="137" t="s">
        <v>97</v>
      </c>
      <c r="AA27" s="137" t="s">
        <v>97</v>
      </c>
      <c r="AB27" s="137" t="s">
        <v>97</v>
      </c>
      <c r="AC27" s="137" t="s">
        <v>97</v>
      </c>
      <c r="AD27" s="137" t="s">
        <v>97</v>
      </c>
      <c r="AE27" s="137" t="s">
        <v>97</v>
      </c>
      <c r="AF27" s="137" t="s">
        <v>97</v>
      </c>
      <c r="AG27" s="137" t="s">
        <v>97</v>
      </c>
      <c r="AH27" s="137" t="s">
        <v>97</v>
      </c>
      <c r="AI27" s="137" t="s">
        <v>97</v>
      </c>
      <c r="AJ27" s="137" t="s">
        <v>97</v>
      </c>
      <c r="AK27" s="137" t="s">
        <v>97</v>
      </c>
      <c r="AL27" s="137" t="s">
        <v>97</v>
      </c>
      <c r="AM27" s="137" t="s">
        <v>97</v>
      </c>
      <c r="AN27" s="137" t="s">
        <v>97</v>
      </c>
      <c r="AO27" s="137" t="s">
        <v>97</v>
      </c>
      <c r="AP27" s="137" t="s">
        <v>97</v>
      </c>
      <c r="AQ27" s="137" t="s">
        <v>97</v>
      </c>
      <c r="AR27" s="137" t="s">
        <v>97</v>
      </c>
      <c r="AS27" s="137" t="s">
        <v>97</v>
      </c>
      <c r="AT27" s="137" t="s">
        <v>97</v>
      </c>
      <c r="AU27" s="137" t="s">
        <v>97</v>
      </c>
      <c r="AV27" s="137" t="s">
        <v>97</v>
      </c>
      <c r="AW27" s="137" t="s">
        <v>97</v>
      </c>
      <c r="AX27" s="137" t="s">
        <v>97</v>
      </c>
      <c r="AY27" s="137" t="s">
        <v>97</v>
      </c>
      <c r="AZ27" s="137" t="s">
        <v>97</v>
      </c>
      <c r="BA27" s="137" t="s">
        <v>97</v>
      </c>
      <c r="BB27" s="137" t="s">
        <v>97</v>
      </c>
      <c r="BC27" s="137" t="s">
        <v>97</v>
      </c>
      <c r="BD27" s="137" t="s">
        <v>97</v>
      </c>
      <c r="BE27" s="137" t="s">
        <v>97</v>
      </c>
      <c r="BF27" s="137" t="s">
        <v>97</v>
      </c>
      <c r="BG27" s="137" t="s">
        <v>97</v>
      </c>
      <c r="BH27" s="137" t="s">
        <v>97</v>
      </c>
      <c r="BI27" s="137" t="s">
        <v>97</v>
      </c>
      <c r="BJ27" s="137" t="s">
        <v>97</v>
      </c>
      <c r="BK27" s="137" t="s">
        <v>97</v>
      </c>
      <c r="BL27" s="137" t="s">
        <v>97</v>
      </c>
      <c r="BM27" s="137" t="s">
        <v>97</v>
      </c>
      <c r="BN27" s="137" t="s">
        <v>97</v>
      </c>
      <c r="BO27" s="137" t="s">
        <v>97</v>
      </c>
      <c r="BP27" s="137" t="s">
        <v>97</v>
      </c>
      <c r="BQ27" s="137" t="s">
        <v>97</v>
      </c>
      <c r="BR27" s="137" t="s">
        <v>97</v>
      </c>
      <c r="BS27" s="137" t="s">
        <v>97</v>
      </c>
      <c r="BT27" s="137" t="s">
        <v>97</v>
      </c>
      <c r="BU27" s="137" t="s">
        <v>97</v>
      </c>
      <c r="BV27" s="137" t="s">
        <v>97</v>
      </c>
      <c r="BW27" s="137" t="s">
        <v>97</v>
      </c>
      <c r="BX27" s="137" t="s">
        <v>97</v>
      </c>
      <c r="BY27" s="137" t="s">
        <v>97</v>
      </c>
      <c r="BZ27" s="137" t="s">
        <v>97</v>
      </c>
      <c r="CA27" s="137" t="s">
        <v>97</v>
      </c>
      <c r="CB27" s="137" t="s">
        <v>97</v>
      </c>
      <c r="CC27" s="137" t="s">
        <v>97</v>
      </c>
      <c r="CD27" s="137" t="s">
        <v>97</v>
      </c>
      <c r="CE27" s="137" t="s">
        <v>97</v>
      </c>
      <c r="CF27" s="137" t="s">
        <v>97</v>
      </c>
      <c r="CG27" s="137" t="s">
        <v>97</v>
      </c>
      <c r="CH27" s="137" t="s">
        <v>97</v>
      </c>
      <c r="CI27" s="137" t="s">
        <v>97</v>
      </c>
      <c r="CJ27" s="137" t="s">
        <v>97</v>
      </c>
      <c r="CK27" s="137" t="s">
        <v>97</v>
      </c>
      <c r="CL27" s="137" t="s">
        <v>97</v>
      </c>
      <c r="CM27" s="137" t="s">
        <v>97</v>
      </c>
      <c r="CN27" s="137" t="s">
        <v>97</v>
      </c>
      <c r="CO27" s="137" t="s">
        <v>97</v>
      </c>
      <c r="CP27" s="137" t="s">
        <v>97</v>
      </c>
      <c r="CQ27" s="137" t="s">
        <v>97</v>
      </c>
      <c r="CR27" s="137" t="s">
        <v>97</v>
      </c>
      <c r="CS27" s="137" t="s">
        <v>97</v>
      </c>
      <c r="CT27" s="137" t="s">
        <v>97</v>
      </c>
      <c r="CU27" s="137" t="s">
        <v>97</v>
      </c>
      <c r="CV27" s="137" t="s">
        <v>97</v>
      </c>
      <c r="CW27" s="137" t="s">
        <v>97</v>
      </c>
      <c r="CX27" s="137" t="s">
        <v>97</v>
      </c>
      <c r="CY27" s="137" t="s">
        <v>97</v>
      </c>
      <c r="CZ27" s="137" t="s">
        <v>97</v>
      </c>
      <c r="DA27" s="137" t="s">
        <v>97</v>
      </c>
      <c r="DB27" s="137" t="s">
        <v>97</v>
      </c>
      <c r="DC27" s="137" t="s">
        <v>97</v>
      </c>
      <c r="DD27" s="137" t="s">
        <v>97</v>
      </c>
      <c r="DE27" s="137" t="s">
        <v>97</v>
      </c>
      <c r="DF27" s="137" t="s">
        <v>97</v>
      </c>
      <c r="DG27" s="137" t="s">
        <v>97</v>
      </c>
      <c r="DH27" s="137" t="s">
        <v>97</v>
      </c>
      <c r="DI27" s="137" t="s">
        <v>97</v>
      </c>
      <c r="DJ27" s="137" t="s">
        <v>97</v>
      </c>
      <c r="DK27" s="137" t="s">
        <v>97</v>
      </c>
      <c r="DL27" s="137" t="s">
        <v>97</v>
      </c>
      <c r="DM27" s="137" t="s">
        <v>97</v>
      </c>
      <c r="DN27" s="137" t="s">
        <v>97</v>
      </c>
      <c r="DO27" s="137" t="s">
        <v>97</v>
      </c>
      <c r="DP27" s="137" t="s">
        <v>97</v>
      </c>
      <c r="DW27" s="137" t="s">
        <v>97</v>
      </c>
      <c r="DX27" s="137" t="s">
        <v>97</v>
      </c>
      <c r="DY27" s="137" t="s">
        <v>97</v>
      </c>
      <c r="DZ27" s="137" t="s">
        <v>97</v>
      </c>
    </row>
    <row r="28" spans="1:130" s="185" customFormat="1" outlineLevel="1">
      <c r="A28" s="661"/>
      <c r="B28" s="57" t="str">
        <f t="shared" si="3"/>
        <v xml:space="preserve"> </v>
      </c>
      <c r="C28" s="57" t="str">
        <f t="shared" si="0"/>
        <v xml:space="preserve"> </v>
      </c>
      <c r="D28" s="57" t="str">
        <f t="shared" si="4"/>
        <v xml:space="preserve"> </v>
      </c>
      <c r="E28" s="84" t="str">
        <f t="shared" si="5"/>
        <v xml:space="preserve"> </v>
      </c>
      <c r="F28" s="638"/>
      <c r="G28" s="134" t="s">
        <v>97</v>
      </c>
      <c r="H28" s="137" t="s">
        <v>97</v>
      </c>
      <c r="I28" s="137" t="s">
        <v>97</v>
      </c>
      <c r="J28" s="137" t="s">
        <v>97</v>
      </c>
      <c r="K28" s="137" t="s">
        <v>97</v>
      </c>
      <c r="L28" s="137" t="s">
        <v>97</v>
      </c>
      <c r="M28" s="137" t="s">
        <v>97</v>
      </c>
      <c r="N28" s="137" t="s">
        <v>97</v>
      </c>
      <c r="O28" s="137" t="s">
        <v>97</v>
      </c>
      <c r="P28" s="137" t="s">
        <v>97</v>
      </c>
      <c r="Q28" s="137" t="s">
        <v>97</v>
      </c>
      <c r="R28" s="137" t="s">
        <v>97</v>
      </c>
      <c r="S28" s="137" t="s">
        <v>97</v>
      </c>
      <c r="T28" s="137" t="s">
        <v>97</v>
      </c>
      <c r="U28" s="137" t="s">
        <v>97</v>
      </c>
      <c r="V28" s="137" t="s">
        <v>97</v>
      </c>
      <c r="W28" s="137" t="s">
        <v>97</v>
      </c>
      <c r="X28" s="137" t="s">
        <v>97</v>
      </c>
      <c r="Y28" s="137" t="s">
        <v>97</v>
      </c>
      <c r="Z28" s="137" t="s">
        <v>97</v>
      </c>
      <c r="AA28" s="137" t="s">
        <v>97</v>
      </c>
      <c r="AB28" s="137" t="s">
        <v>97</v>
      </c>
      <c r="AC28" s="137" t="s">
        <v>97</v>
      </c>
      <c r="AD28" s="137" t="s">
        <v>97</v>
      </c>
      <c r="AE28" s="137" t="s">
        <v>97</v>
      </c>
      <c r="AF28" s="137" t="s">
        <v>97</v>
      </c>
      <c r="AG28" s="137" t="s">
        <v>97</v>
      </c>
      <c r="AH28" s="137" t="s">
        <v>97</v>
      </c>
      <c r="AI28" s="137" t="s">
        <v>97</v>
      </c>
      <c r="AJ28" s="137" t="s">
        <v>97</v>
      </c>
      <c r="AK28" s="137" t="s">
        <v>97</v>
      </c>
      <c r="AL28" s="137" t="s">
        <v>97</v>
      </c>
      <c r="AM28" s="137" t="s">
        <v>97</v>
      </c>
      <c r="AN28" s="137" t="s">
        <v>97</v>
      </c>
      <c r="AO28" s="137" t="s">
        <v>97</v>
      </c>
      <c r="AP28" s="137" t="s">
        <v>97</v>
      </c>
      <c r="AQ28" s="137" t="s">
        <v>97</v>
      </c>
      <c r="AR28" s="137" t="s">
        <v>97</v>
      </c>
      <c r="AS28" s="137" t="s">
        <v>97</v>
      </c>
      <c r="AT28" s="137" t="s">
        <v>97</v>
      </c>
      <c r="AU28" s="137" t="s">
        <v>97</v>
      </c>
      <c r="AV28" s="137" t="s">
        <v>97</v>
      </c>
      <c r="AW28" s="137" t="s">
        <v>97</v>
      </c>
      <c r="AX28" s="137" t="s">
        <v>97</v>
      </c>
      <c r="AY28" s="137" t="s">
        <v>97</v>
      </c>
      <c r="AZ28" s="137" t="s">
        <v>97</v>
      </c>
      <c r="BA28" s="137" t="s">
        <v>97</v>
      </c>
      <c r="BB28" s="137" t="s">
        <v>97</v>
      </c>
      <c r="BC28" s="137" t="s">
        <v>97</v>
      </c>
      <c r="BD28" s="137" t="s">
        <v>97</v>
      </c>
      <c r="BE28" s="137" t="s">
        <v>97</v>
      </c>
      <c r="BF28" s="137" t="s">
        <v>97</v>
      </c>
      <c r="BG28" s="137" t="s">
        <v>97</v>
      </c>
      <c r="BH28" s="137" t="s">
        <v>97</v>
      </c>
      <c r="BI28" s="137" t="s">
        <v>97</v>
      </c>
      <c r="BJ28" s="137" t="s">
        <v>97</v>
      </c>
      <c r="BK28" s="137" t="s">
        <v>97</v>
      </c>
      <c r="BL28" s="137" t="s">
        <v>97</v>
      </c>
      <c r="BM28" s="137" t="s">
        <v>97</v>
      </c>
      <c r="BN28" s="137" t="s">
        <v>97</v>
      </c>
      <c r="BO28" s="137" t="s">
        <v>97</v>
      </c>
      <c r="BP28" s="137" t="s">
        <v>97</v>
      </c>
      <c r="BQ28" s="137" t="s">
        <v>97</v>
      </c>
      <c r="BR28" s="137" t="s">
        <v>97</v>
      </c>
      <c r="BS28" s="137" t="s">
        <v>97</v>
      </c>
      <c r="BT28" s="137" t="s">
        <v>97</v>
      </c>
      <c r="BU28" s="137" t="s">
        <v>97</v>
      </c>
      <c r="BV28" s="137" t="s">
        <v>97</v>
      </c>
      <c r="BW28" s="137" t="s">
        <v>97</v>
      </c>
      <c r="BX28" s="137" t="s">
        <v>97</v>
      </c>
      <c r="BY28" s="137" t="s">
        <v>97</v>
      </c>
      <c r="BZ28" s="137" t="s">
        <v>97</v>
      </c>
      <c r="CA28" s="137" t="s">
        <v>97</v>
      </c>
      <c r="CB28" s="137" t="s">
        <v>97</v>
      </c>
      <c r="CC28" s="137" t="s">
        <v>97</v>
      </c>
      <c r="CD28" s="137" t="s">
        <v>97</v>
      </c>
      <c r="CE28" s="137" t="s">
        <v>97</v>
      </c>
      <c r="CF28" s="137" t="s">
        <v>97</v>
      </c>
      <c r="CG28" s="137" t="s">
        <v>97</v>
      </c>
      <c r="CH28" s="137" t="s">
        <v>97</v>
      </c>
      <c r="CI28" s="137" t="s">
        <v>97</v>
      </c>
      <c r="CJ28" s="137" t="s">
        <v>97</v>
      </c>
      <c r="CK28" s="137" t="s">
        <v>97</v>
      </c>
      <c r="CL28" s="137" t="s">
        <v>97</v>
      </c>
      <c r="CM28" s="137" t="s">
        <v>97</v>
      </c>
      <c r="CN28" s="137" t="s">
        <v>97</v>
      </c>
      <c r="CO28" s="137" t="s">
        <v>97</v>
      </c>
      <c r="CP28" s="137" t="s">
        <v>97</v>
      </c>
      <c r="CQ28" s="137" t="s">
        <v>97</v>
      </c>
      <c r="CR28" s="137" t="s">
        <v>97</v>
      </c>
      <c r="CS28" s="137" t="s">
        <v>97</v>
      </c>
      <c r="CT28" s="137" t="s">
        <v>97</v>
      </c>
      <c r="CU28" s="137" t="s">
        <v>97</v>
      </c>
      <c r="CV28" s="137" t="s">
        <v>97</v>
      </c>
      <c r="CW28" s="137" t="s">
        <v>97</v>
      </c>
      <c r="CX28" s="137" t="s">
        <v>97</v>
      </c>
      <c r="CY28" s="137" t="s">
        <v>97</v>
      </c>
      <c r="CZ28" s="137" t="s">
        <v>97</v>
      </c>
      <c r="DA28" s="137" t="s">
        <v>97</v>
      </c>
      <c r="DB28" s="137" t="s">
        <v>97</v>
      </c>
      <c r="DC28" s="137" t="s">
        <v>97</v>
      </c>
      <c r="DD28" s="137" t="s">
        <v>97</v>
      </c>
      <c r="DE28" s="137" t="s">
        <v>97</v>
      </c>
      <c r="DF28" s="137" t="s">
        <v>97</v>
      </c>
      <c r="DG28" s="137" t="s">
        <v>97</v>
      </c>
      <c r="DH28" s="137" t="s">
        <v>97</v>
      </c>
      <c r="DI28" s="137" t="s">
        <v>97</v>
      </c>
      <c r="DJ28" s="137" t="s">
        <v>97</v>
      </c>
      <c r="DK28" s="137" t="s">
        <v>97</v>
      </c>
      <c r="DL28" s="137" t="s">
        <v>97</v>
      </c>
      <c r="DM28" s="137" t="s">
        <v>97</v>
      </c>
      <c r="DN28" s="137" t="s">
        <v>97</v>
      </c>
      <c r="DO28" s="137" t="s">
        <v>97</v>
      </c>
      <c r="DP28" s="137" t="s">
        <v>97</v>
      </c>
      <c r="DW28" s="137" t="s">
        <v>97</v>
      </c>
      <c r="DX28" s="137" t="s">
        <v>97</v>
      </c>
      <c r="DY28" s="137" t="s">
        <v>97</v>
      </c>
      <c r="DZ28" s="137" t="s">
        <v>97</v>
      </c>
    </row>
    <row r="29" spans="1:130" s="185" customFormat="1" outlineLevel="1">
      <c r="A29" s="661"/>
      <c r="B29" s="57" t="str">
        <f t="shared" si="3"/>
        <v xml:space="preserve"> </v>
      </c>
      <c r="C29" s="57" t="str">
        <f t="shared" si="0"/>
        <v xml:space="preserve"> </v>
      </c>
      <c r="D29" s="57" t="str">
        <f t="shared" si="4"/>
        <v xml:space="preserve"> </v>
      </c>
      <c r="E29" s="84" t="str">
        <f t="shared" si="5"/>
        <v xml:space="preserve"> </v>
      </c>
      <c r="F29" s="638"/>
      <c r="G29" s="134" t="s">
        <v>97</v>
      </c>
      <c r="H29" s="137" t="s">
        <v>97</v>
      </c>
      <c r="I29" s="137" t="s">
        <v>97</v>
      </c>
      <c r="J29" s="137" t="s">
        <v>97</v>
      </c>
      <c r="K29" s="137" t="s">
        <v>97</v>
      </c>
      <c r="L29" s="137" t="s">
        <v>97</v>
      </c>
      <c r="M29" s="137" t="s">
        <v>97</v>
      </c>
      <c r="N29" s="137" t="s">
        <v>97</v>
      </c>
      <c r="O29" s="137" t="s">
        <v>97</v>
      </c>
      <c r="P29" s="137" t="s">
        <v>97</v>
      </c>
      <c r="Q29" s="137" t="s">
        <v>97</v>
      </c>
      <c r="R29" s="137" t="s">
        <v>97</v>
      </c>
      <c r="S29" s="137" t="s">
        <v>97</v>
      </c>
      <c r="T29" s="137" t="s">
        <v>97</v>
      </c>
      <c r="U29" s="137" t="s">
        <v>97</v>
      </c>
      <c r="V29" s="137" t="s">
        <v>97</v>
      </c>
      <c r="W29" s="137" t="s">
        <v>97</v>
      </c>
      <c r="X29" s="137" t="s">
        <v>97</v>
      </c>
      <c r="Y29" s="137" t="s">
        <v>97</v>
      </c>
      <c r="Z29" s="137" t="s">
        <v>97</v>
      </c>
      <c r="AA29" s="137" t="s">
        <v>97</v>
      </c>
      <c r="AB29" s="137" t="s">
        <v>97</v>
      </c>
      <c r="AC29" s="137" t="s">
        <v>97</v>
      </c>
      <c r="AD29" s="137" t="s">
        <v>97</v>
      </c>
      <c r="AE29" s="137" t="s">
        <v>97</v>
      </c>
      <c r="AF29" s="137" t="s">
        <v>97</v>
      </c>
      <c r="AG29" s="137" t="s">
        <v>97</v>
      </c>
      <c r="AH29" s="137" t="s">
        <v>97</v>
      </c>
      <c r="AI29" s="137" t="s">
        <v>97</v>
      </c>
      <c r="AJ29" s="137" t="s">
        <v>97</v>
      </c>
      <c r="AK29" s="137" t="s">
        <v>97</v>
      </c>
      <c r="AL29" s="137" t="s">
        <v>97</v>
      </c>
      <c r="AM29" s="137" t="s">
        <v>97</v>
      </c>
      <c r="AN29" s="137" t="s">
        <v>97</v>
      </c>
      <c r="AO29" s="137" t="s">
        <v>97</v>
      </c>
      <c r="AP29" s="137" t="s">
        <v>97</v>
      </c>
      <c r="AQ29" s="137" t="s">
        <v>97</v>
      </c>
      <c r="AR29" s="137" t="s">
        <v>97</v>
      </c>
      <c r="AS29" s="137" t="s">
        <v>97</v>
      </c>
      <c r="AT29" s="137" t="s">
        <v>97</v>
      </c>
      <c r="AU29" s="137" t="s">
        <v>97</v>
      </c>
      <c r="AV29" s="137" t="s">
        <v>97</v>
      </c>
      <c r="AW29" s="137" t="s">
        <v>97</v>
      </c>
      <c r="AX29" s="137" t="s">
        <v>97</v>
      </c>
      <c r="AY29" s="137" t="s">
        <v>97</v>
      </c>
      <c r="AZ29" s="137" t="s">
        <v>97</v>
      </c>
      <c r="BA29" s="137" t="s">
        <v>97</v>
      </c>
      <c r="BB29" s="137" t="s">
        <v>97</v>
      </c>
      <c r="BC29" s="137" t="s">
        <v>97</v>
      </c>
      <c r="BD29" s="137" t="s">
        <v>97</v>
      </c>
      <c r="BE29" s="137" t="s">
        <v>97</v>
      </c>
      <c r="BF29" s="137" t="s">
        <v>97</v>
      </c>
      <c r="BG29" s="137" t="s">
        <v>97</v>
      </c>
      <c r="BH29" s="137" t="s">
        <v>97</v>
      </c>
      <c r="BI29" s="137" t="s">
        <v>97</v>
      </c>
      <c r="BJ29" s="137" t="s">
        <v>97</v>
      </c>
      <c r="BK29" s="137" t="s">
        <v>97</v>
      </c>
      <c r="BL29" s="137" t="s">
        <v>97</v>
      </c>
      <c r="BM29" s="137" t="s">
        <v>97</v>
      </c>
      <c r="BN29" s="137" t="s">
        <v>97</v>
      </c>
      <c r="BO29" s="137" t="s">
        <v>97</v>
      </c>
      <c r="BP29" s="137" t="s">
        <v>97</v>
      </c>
      <c r="BQ29" s="137" t="s">
        <v>97</v>
      </c>
      <c r="BR29" s="137" t="s">
        <v>97</v>
      </c>
      <c r="BS29" s="137" t="s">
        <v>97</v>
      </c>
      <c r="BT29" s="137" t="s">
        <v>97</v>
      </c>
      <c r="BU29" s="137" t="s">
        <v>97</v>
      </c>
      <c r="BV29" s="137" t="s">
        <v>97</v>
      </c>
      <c r="BW29" s="137" t="s">
        <v>97</v>
      </c>
      <c r="BX29" s="137" t="s">
        <v>97</v>
      </c>
      <c r="BY29" s="137" t="s">
        <v>97</v>
      </c>
      <c r="BZ29" s="137" t="s">
        <v>97</v>
      </c>
      <c r="CA29" s="137" t="s">
        <v>97</v>
      </c>
      <c r="CB29" s="137" t="s">
        <v>97</v>
      </c>
      <c r="CC29" s="137" t="s">
        <v>97</v>
      </c>
      <c r="CD29" s="137" t="s">
        <v>97</v>
      </c>
      <c r="CE29" s="137" t="s">
        <v>97</v>
      </c>
      <c r="CF29" s="137" t="s">
        <v>97</v>
      </c>
      <c r="CG29" s="137" t="s">
        <v>97</v>
      </c>
      <c r="CH29" s="137" t="s">
        <v>97</v>
      </c>
      <c r="CI29" s="137" t="s">
        <v>97</v>
      </c>
      <c r="CJ29" s="137" t="s">
        <v>97</v>
      </c>
      <c r="CK29" s="137" t="s">
        <v>97</v>
      </c>
      <c r="CL29" s="137" t="s">
        <v>97</v>
      </c>
      <c r="CM29" s="137" t="s">
        <v>97</v>
      </c>
      <c r="CN29" s="137" t="s">
        <v>97</v>
      </c>
      <c r="CO29" s="137" t="s">
        <v>97</v>
      </c>
      <c r="CP29" s="137" t="s">
        <v>97</v>
      </c>
      <c r="CQ29" s="137" t="s">
        <v>97</v>
      </c>
      <c r="CR29" s="137" t="s">
        <v>97</v>
      </c>
      <c r="CS29" s="137" t="s">
        <v>97</v>
      </c>
      <c r="CT29" s="137" t="s">
        <v>97</v>
      </c>
      <c r="CU29" s="137" t="s">
        <v>97</v>
      </c>
      <c r="CV29" s="137" t="s">
        <v>97</v>
      </c>
      <c r="CW29" s="137" t="s">
        <v>97</v>
      </c>
      <c r="CX29" s="137" t="s">
        <v>97</v>
      </c>
      <c r="CY29" s="137" t="s">
        <v>97</v>
      </c>
      <c r="CZ29" s="137" t="s">
        <v>97</v>
      </c>
      <c r="DA29" s="137" t="s">
        <v>97</v>
      </c>
      <c r="DB29" s="137" t="s">
        <v>97</v>
      </c>
      <c r="DC29" s="137" t="s">
        <v>97</v>
      </c>
      <c r="DD29" s="137" t="s">
        <v>97</v>
      </c>
      <c r="DE29" s="137" t="s">
        <v>97</v>
      </c>
      <c r="DF29" s="137" t="s">
        <v>97</v>
      </c>
      <c r="DG29" s="137" t="s">
        <v>97</v>
      </c>
      <c r="DH29" s="137" t="s">
        <v>97</v>
      </c>
      <c r="DI29" s="137" t="s">
        <v>97</v>
      </c>
      <c r="DJ29" s="137" t="s">
        <v>97</v>
      </c>
      <c r="DK29" s="137" t="s">
        <v>97</v>
      </c>
      <c r="DL29" s="137" t="s">
        <v>97</v>
      </c>
      <c r="DM29" s="137" t="s">
        <v>97</v>
      </c>
      <c r="DN29" s="137" t="s">
        <v>97</v>
      </c>
      <c r="DO29" s="137" t="s">
        <v>97</v>
      </c>
      <c r="DP29" s="137" t="s">
        <v>97</v>
      </c>
      <c r="DW29" s="137" t="s">
        <v>97</v>
      </c>
      <c r="DX29" s="137" t="s">
        <v>97</v>
      </c>
      <c r="DY29" s="137" t="s">
        <v>97</v>
      </c>
      <c r="DZ29" s="137" t="s">
        <v>97</v>
      </c>
    </row>
    <row r="30" spans="1:130" s="185" customFormat="1" outlineLevel="1">
      <c r="A30" s="661"/>
      <c r="B30" s="57" t="str">
        <f t="shared" si="3"/>
        <v xml:space="preserve"> </v>
      </c>
      <c r="C30" s="57" t="str">
        <f t="shared" si="0"/>
        <v xml:space="preserve"> </v>
      </c>
      <c r="D30" s="57" t="str">
        <f t="shared" si="4"/>
        <v xml:space="preserve"> </v>
      </c>
      <c r="E30" s="84" t="str">
        <f t="shared" si="5"/>
        <v xml:space="preserve"> </v>
      </c>
      <c r="F30" s="638"/>
      <c r="G30" s="134" t="s">
        <v>97</v>
      </c>
      <c r="H30" s="137" t="s">
        <v>97</v>
      </c>
      <c r="I30" s="137" t="s">
        <v>97</v>
      </c>
      <c r="J30" s="137" t="s">
        <v>97</v>
      </c>
      <c r="K30" s="137" t="s">
        <v>97</v>
      </c>
      <c r="L30" s="137" t="s">
        <v>97</v>
      </c>
      <c r="M30" s="137" t="s">
        <v>97</v>
      </c>
      <c r="N30" s="137" t="s">
        <v>97</v>
      </c>
      <c r="O30" s="137" t="s">
        <v>97</v>
      </c>
      <c r="P30" s="137" t="s">
        <v>97</v>
      </c>
      <c r="Q30" s="137" t="s">
        <v>97</v>
      </c>
      <c r="R30" s="137" t="s">
        <v>97</v>
      </c>
      <c r="S30" s="137" t="s">
        <v>97</v>
      </c>
      <c r="T30" s="137" t="s">
        <v>97</v>
      </c>
      <c r="U30" s="137" t="s">
        <v>97</v>
      </c>
      <c r="V30" s="137" t="s">
        <v>97</v>
      </c>
      <c r="W30" s="137" t="s">
        <v>97</v>
      </c>
      <c r="X30" s="137" t="s">
        <v>97</v>
      </c>
      <c r="Y30" s="137" t="s">
        <v>97</v>
      </c>
      <c r="Z30" s="137" t="s">
        <v>97</v>
      </c>
      <c r="AA30" s="137" t="s">
        <v>97</v>
      </c>
      <c r="AB30" s="137" t="s">
        <v>97</v>
      </c>
      <c r="AC30" s="137" t="s">
        <v>97</v>
      </c>
      <c r="AD30" s="137" t="s">
        <v>97</v>
      </c>
      <c r="AE30" s="137" t="s">
        <v>97</v>
      </c>
      <c r="AF30" s="137" t="s">
        <v>97</v>
      </c>
      <c r="AG30" s="137" t="s">
        <v>97</v>
      </c>
      <c r="AH30" s="137" t="s">
        <v>97</v>
      </c>
      <c r="AI30" s="137" t="s">
        <v>97</v>
      </c>
      <c r="AJ30" s="137" t="s">
        <v>97</v>
      </c>
      <c r="AK30" s="137" t="s">
        <v>97</v>
      </c>
      <c r="AL30" s="137" t="s">
        <v>97</v>
      </c>
      <c r="AM30" s="137" t="s">
        <v>97</v>
      </c>
      <c r="AN30" s="137" t="s">
        <v>97</v>
      </c>
      <c r="AO30" s="137" t="s">
        <v>97</v>
      </c>
      <c r="AP30" s="137" t="s">
        <v>97</v>
      </c>
      <c r="AQ30" s="137" t="s">
        <v>97</v>
      </c>
      <c r="AR30" s="137" t="s">
        <v>97</v>
      </c>
      <c r="AS30" s="137" t="s">
        <v>97</v>
      </c>
      <c r="AT30" s="137" t="s">
        <v>97</v>
      </c>
      <c r="AU30" s="137" t="s">
        <v>97</v>
      </c>
      <c r="AV30" s="137" t="s">
        <v>97</v>
      </c>
      <c r="AW30" s="137" t="s">
        <v>97</v>
      </c>
      <c r="AX30" s="137" t="s">
        <v>97</v>
      </c>
      <c r="AY30" s="137" t="s">
        <v>97</v>
      </c>
      <c r="AZ30" s="137" t="s">
        <v>97</v>
      </c>
      <c r="BA30" s="137" t="s">
        <v>97</v>
      </c>
      <c r="BB30" s="137" t="s">
        <v>97</v>
      </c>
      <c r="BC30" s="137" t="s">
        <v>97</v>
      </c>
      <c r="BD30" s="137" t="s">
        <v>97</v>
      </c>
      <c r="BE30" s="137" t="s">
        <v>97</v>
      </c>
      <c r="BF30" s="137" t="s">
        <v>97</v>
      </c>
      <c r="BG30" s="137" t="s">
        <v>97</v>
      </c>
      <c r="BH30" s="137" t="s">
        <v>97</v>
      </c>
      <c r="BI30" s="137" t="s">
        <v>97</v>
      </c>
      <c r="BJ30" s="137" t="s">
        <v>97</v>
      </c>
      <c r="BK30" s="137" t="s">
        <v>97</v>
      </c>
      <c r="BL30" s="137" t="s">
        <v>97</v>
      </c>
      <c r="BM30" s="137" t="s">
        <v>97</v>
      </c>
      <c r="BN30" s="137" t="s">
        <v>97</v>
      </c>
      <c r="BO30" s="137" t="s">
        <v>97</v>
      </c>
      <c r="BP30" s="137" t="s">
        <v>97</v>
      </c>
      <c r="BQ30" s="137" t="s">
        <v>97</v>
      </c>
      <c r="BR30" s="137" t="s">
        <v>97</v>
      </c>
      <c r="BS30" s="137" t="s">
        <v>97</v>
      </c>
      <c r="BT30" s="137" t="s">
        <v>97</v>
      </c>
      <c r="BU30" s="137" t="s">
        <v>97</v>
      </c>
      <c r="BV30" s="137" t="s">
        <v>97</v>
      </c>
      <c r="BW30" s="137" t="s">
        <v>97</v>
      </c>
      <c r="BX30" s="137" t="s">
        <v>97</v>
      </c>
      <c r="BY30" s="137" t="s">
        <v>97</v>
      </c>
      <c r="BZ30" s="137" t="s">
        <v>97</v>
      </c>
      <c r="CA30" s="137" t="s">
        <v>97</v>
      </c>
      <c r="CB30" s="137" t="s">
        <v>97</v>
      </c>
      <c r="CC30" s="137" t="s">
        <v>97</v>
      </c>
      <c r="CD30" s="137" t="s">
        <v>97</v>
      </c>
      <c r="CE30" s="137" t="s">
        <v>97</v>
      </c>
      <c r="CF30" s="137" t="s">
        <v>97</v>
      </c>
      <c r="CG30" s="137" t="s">
        <v>97</v>
      </c>
      <c r="CH30" s="137" t="s">
        <v>97</v>
      </c>
      <c r="CI30" s="137" t="s">
        <v>97</v>
      </c>
      <c r="CJ30" s="137" t="s">
        <v>97</v>
      </c>
      <c r="CK30" s="137" t="s">
        <v>97</v>
      </c>
      <c r="CL30" s="137" t="s">
        <v>97</v>
      </c>
      <c r="CM30" s="137" t="s">
        <v>97</v>
      </c>
      <c r="CN30" s="137" t="s">
        <v>97</v>
      </c>
      <c r="CO30" s="137" t="s">
        <v>97</v>
      </c>
      <c r="CP30" s="137" t="s">
        <v>97</v>
      </c>
      <c r="CQ30" s="137" t="s">
        <v>97</v>
      </c>
      <c r="CR30" s="137" t="s">
        <v>97</v>
      </c>
      <c r="CS30" s="137" t="s">
        <v>97</v>
      </c>
      <c r="CT30" s="137" t="s">
        <v>97</v>
      </c>
      <c r="CU30" s="137" t="s">
        <v>97</v>
      </c>
      <c r="CV30" s="137" t="s">
        <v>97</v>
      </c>
      <c r="CW30" s="137" t="s">
        <v>97</v>
      </c>
      <c r="CX30" s="137" t="s">
        <v>97</v>
      </c>
      <c r="CY30" s="137" t="s">
        <v>97</v>
      </c>
      <c r="CZ30" s="137" t="s">
        <v>97</v>
      </c>
      <c r="DA30" s="137" t="s">
        <v>97</v>
      </c>
      <c r="DB30" s="137" t="s">
        <v>97</v>
      </c>
      <c r="DC30" s="137" t="s">
        <v>97</v>
      </c>
      <c r="DD30" s="137" t="s">
        <v>97</v>
      </c>
      <c r="DE30" s="137" t="s">
        <v>97</v>
      </c>
      <c r="DF30" s="137" t="s">
        <v>97</v>
      </c>
      <c r="DG30" s="137" t="s">
        <v>97</v>
      </c>
      <c r="DH30" s="137" t="s">
        <v>97</v>
      </c>
      <c r="DI30" s="137" t="s">
        <v>97</v>
      </c>
      <c r="DJ30" s="137" t="s">
        <v>97</v>
      </c>
      <c r="DK30" s="137" t="s">
        <v>97</v>
      </c>
      <c r="DL30" s="137" t="s">
        <v>97</v>
      </c>
      <c r="DM30" s="137" t="s">
        <v>97</v>
      </c>
      <c r="DN30" s="137" t="s">
        <v>97</v>
      </c>
      <c r="DO30" s="137" t="s">
        <v>97</v>
      </c>
      <c r="DP30" s="137" t="s">
        <v>97</v>
      </c>
      <c r="DW30" s="137" t="s">
        <v>97</v>
      </c>
      <c r="DX30" s="137" t="s">
        <v>97</v>
      </c>
      <c r="DY30" s="137" t="s">
        <v>97</v>
      </c>
      <c r="DZ30" s="137" t="s">
        <v>97</v>
      </c>
    </row>
    <row r="31" spans="1:130" s="185" customFormat="1" outlineLevel="1">
      <c r="A31" s="661"/>
      <c r="B31" s="57" t="str">
        <f t="shared" si="3"/>
        <v xml:space="preserve"> </v>
      </c>
      <c r="C31" s="57" t="str">
        <f t="shared" si="0"/>
        <v xml:space="preserve"> </v>
      </c>
      <c r="D31" s="57" t="str">
        <f t="shared" si="4"/>
        <v xml:space="preserve"> </v>
      </c>
      <c r="E31" s="84" t="str">
        <f t="shared" si="5"/>
        <v xml:space="preserve"> </v>
      </c>
      <c r="F31" s="638"/>
      <c r="G31" s="134" t="s">
        <v>97</v>
      </c>
      <c r="H31" s="137" t="s">
        <v>97</v>
      </c>
      <c r="I31" s="137" t="s">
        <v>97</v>
      </c>
      <c r="J31" s="137" t="s">
        <v>97</v>
      </c>
      <c r="K31" s="137" t="s">
        <v>97</v>
      </c>
      <c r="L31" s="137" t="s">
        <v>97</v>
      </c>
      <c r="M31" s="137" t="s">
        <v>97</v>
      </c>
      <c r="N31" s="137" t="s">
        <v>97</v>
      </c>
      <c r="O31" s="137" t="s">
        <v>97</v>
      </c>
      <c r="P31" s="137" t="s">
        <v>97</v>
      </c>
      <c r="Q31" s="137" t="s">
        <v>97</v>
      </c>
      <c r="R31" s="137" t="s">
        <v>97</v>
      </c>
      <c r="S31" s="137" t="s">
        <v>97</v>
      </c>
      <c r="T31" s="137" t="s">
        <v>97</v>
      </c>
      <c r="U31" s="137" t="s">
        <v>97</v>
      </c>
      <c r="V31" s="137" t="s">
        <v>97</v>
      </c>
      <c r="W31" s="137" t="s">
        <v>97</v>
      </c>
      <c r="X31" s="137" t="s">
        <v>97</v>
      </c>
      <c r="Y31" s="137" t="s">
        <v>97</v>
      </c>
      <c r="Z31" s="137" t="s">
        <v>97</v>
      </c>
      <c r="AA31" s="137" t="s">
        <v>97</v>
      </c>
      <c r="AB31" s="137" t="s">
        <v>97</v>
      </c>
      <c r="AC31" s="137" t="s">
        <v>97</v>
      </c>
      <c r="AD31" s="137" t="s">
        <v>97</v>
      </c>
      <c r="AE31" s="137" t="s">
        <v>97</v>
      </c>
      <c r="AF31" s="137" t="s">
        <v>97</v>
      </c>
      <c r="AG31" s="137" t="s">
        <v>97</v>
      </c>
      <c r="AH31" s="137" t="s">
        <v>97</v>
      </c>
      <c r="AI31" s="137" t="s">
        <v>97</v>
      </c>
      <c r="AJ31" s="137" t="s">
        <v>97</v>
      </c>
      <c r="AK31" s="137" t="s">
        <v>97</v>
      </c>
      <c r="AL31" s="137" t="s">
        <v>97</v>
      </c>
      <c r="AM31" s="137" t="s">
        <v>97</v>
      </c>
      <c r="AN31" s="137" t="s">
        <v>97</v>
      </c>
      <c r="AO31" s="137" t="s">
        <v>97</v>
      </c>
      <c r="AP31" s="137" t="s">
        <v>97</v>
      </c>
      <c r="AQ31" s="137" t="s">
        <v>97</v>
      </c>
      <c r="AR31" s="137" t="s">
        <v>97</v>
      </c>
      <c r="AS31" s="137" t="s">
        <v>97</v>
      </c>
      <c r="AT31" s="137" t="s">
        <v>97</v>
      </c>
      <c r="AU31" s="137" t="s">
        <v>97</v>
      </c>
      <c r="AV31" s="137" t="s">
        <v>97</v>
      </c>
      <c r="AW31" s="137" t="s">
        <v>97</v>
      </c>
      <c r="AX31" s="137" t="s">
        <v>97</v>
      </c>
      <c r="AY31" s="137" t="s">
        <v>97</v>
      </c>
      <c r="AZ31" s="137" t="s">
        <v>97</v>
      </c>
      <c r="BA31" s="137" t="s">
        <v>97</v>
      </c>
      <c r="BB31" s="137" t="s">
        <v>97</v>
      </c>
      <c r="BC31" s="137" t="s">
        <v>97</v>
      </c>
      <c r="BD31" s="137" t="s">
        <v>97</v>
      </c>
      <c r="BE31" s="137" t="s">
        <v>97</v>
      </c>
      <c r="BF31" s="137" t="s">
        <v>97</v>
      </c>
      <c r="BG31" s="137" t="s">
        <v>97</v>
      </c>
      <c r="BH31" s="137" t="s">
        <v>97</v>
      </c>
      <c r="BI31" s="137" t="s">
        <v>97</v>
      </c>
      <c r="BJ31" s="137" t="s">
        <v>97</v>
      </c>
      <c r="BK31" s="137" t="s">
        <v>97</v>
      </c>
      <c r="BL31" s="137" t="s">
        <v>97</v>
      </c>
      <c r="BM31" s="137" t="s">
        <v>97</v>
      </c>
      <c r="BN31" s="137" t="s">
        <v>97</v>
      </c>
      <c r="BO31" s="137" t="s">
        <v>97</v>
      </c>
      <c r="BP31" s="137" t="s">
        <v>97</v>
      </c>
      <c r="BQ31" s="137" t="s">
        <v>97</v>
      </c>
      <c r="BR31" s="137" t="s">
        <v>97</v>
      </c>
      <c r="BS31" s="137" t="s">
        <v>97</v>
      </c>
      <c r="BT31" s="137" t="s">
        <v>97</v>
      </c>
      <c r="BU31" s="137" t="s">
        <v>97</v>
      </c>
      <c r="BV31" s="137" t="s">
        <v>97</v>
      </c>
      <c r="BW31" s="137" t="s">
        <v>97</v>
      </c>
      <c r="BX31" s="137" t="s">
        <v>97</v>
      </c>
      <c r="BY31" s="137" t="s">
        <v>97</v>
      </c>
      <c r="BZ31" s="137" t="s">
        <v>97</v>
      </c>
      <c r="CA31" s="137" t="s">
        <v>97</v>
      </c>
      <c r="CB31" s="137" t="s">
        <v>97</v>
      </c>
      <c r="CC31" s="137" t="s">
        <v>97</v>
      </c>
      <c r="CD31" s="137" t="s">
        <v>97</v>
      </c>
      <c r="CE31" s="137" t="s">
        <v>97</v>
      </c>
      <c r="CF31" s="137" t="s">
        <v>97</v>
      </c>
      <c r="CG31" s="137" t="s">
        <v>97</v>
      </c>
      <c r="CH31" s="137" t="s">
        <v>97</v>
      </c>
      <c r="CI31" s="137" t="s">
        <v>97</v>
      </c>
      <c r="CJ31" s="137" t="s">
        <v>97</v>
      </c>
      <c r="CK31" s="137" t="s">
        <v>97</v>
      </c>
      <c r="CL31" s="137" t="s">
        <v>97</v>
      </c>
      <c r="CM31" s="137" t="s">
        <v>97</v>
      </c>
      <c r="CN31" s="137" t="s">
        <v>97</v>
      </c>
      <c r="CO31" s="137" t="s">
        <v>97</v>
      </c>
      <c r="CP31" s="137" t="s">
        <v>97</v>
      </c>
      <c r="CQ31" s="137" t="s">
        <v>97</v>
      </c>
      <c r="CR31" s="137" t="s">
        <v>97</v>
      </c>
      <c r="CS31" s="137" t="s">
        <v>97</v>
      </c>
      <c r="CT31" s="137" t="s">
        <v>97</v>
      </c>
      <c r="CU31" s="137" t="s">
        <v>97</v>
      </c>
      <c r="CV31" s="137" t="s">
        <v>97</v>
      </c>
      <c r="CW31" s="137" t="s">
        <v>97</v>
      </c>
      <c r="CX31" s="137" t="s">
        <v>97</v>
      </c>
      <c r="CY31" s="137" t="s">
        <v>97</v>
      </c>
      <c r="CZ31" s="137" t="s">
        <v>97</v>
      </c>
      <c r="DA31" s="137" t="s">
        <v>97</v>
      </c>
      <c r="DB31" s="137" t="s">
        <v>97</v>
      </c>
      <c r="DC31" s="137" t="s">
        <v>97</v>
      </c>
      <c r="DD31" s="137" t="s">
        <v>97</v>
      </c>
      <c r="DE31" s="137" t="s">
        <v>97</v>
      </c>
      <c r="DF31" s="137" t="s">
        <v>97</v>
      </c>
      <c r="DG31" s="137" t="s">
        <v>97</v>
      </c>
      <c r="DH31" s="137" t="s">
        <v>97</v>
      </c>
      <c r="DI31" s="137" t="s">
        <v>97</v>
      </c>
      <c r="DJ31" s="137" t="s">
        <v>97</v>
      </c>
      <c r="DK31" s="137" t="s">
        <v>97</v>
      </c>
      <c r="DL31" s="137" t="s">
        <v>97</v>
      </c>
      <c r="DM31" s="137" t="s">
        <v>97</v>
      </c>
      <c r="DN31" s="137" t="s">
        <v>97</v>
      </c>
      <c r="DO31" s="137" t="s">
        <v>97</v>
      </c>
      <c r="DP31" s="137" t="s">
        <v>97</v>
      </c>
      <c r="DW31" s="137" t="s">
        <v>97</v>
      </c>
      <c r="DX31" s="137" t="s">
        <v>97</v>
      </c>
      <c r="DY31" s="137" t="s">
        <v>97</v>
      </c>
      <c r="DZ31" s="137" t="s">
        <v>97</v>
      </c>
    </row>
    <row r="32" spans="1:130" s="185" customFormat="1" outlineLevel="1">
      <c r="A32" s="661"/>
      <c r="B32" s="57" t="str">
        <f t="shared" si="3"/>
        <v xml:space="preserve"> </v>
      </c>
      <c r="C32" s="57" t="str">
        <f t="shared" si="0"/>
        <v xml:space="preserve"> </v>
      </c>
      <c r="D32" s="57" t="str">
        <f t="shared" si="4"/>
        <v xml:space="preserve"> </v>
      </c>
      <c r="E32" s="84" t="str">
        <f t="shared" si="5"/>
        <v xml:space="preserve"> </v>
      </c>
      <c r="F32" s="638"/>
      <c r="G32" s="134" t="s">
        <v>97</v>
      </c>
      <c r="H32" s="137" t="s">
        <v>97</v>
      </c>
      <c r="I32" s="137" t="s">
        <v>97</v>
      </c>
      <c r="J32" s="137" t="s">
        <v>97</v>
      </c>
      <c r="K32" s="137" t="s">
        <v>97</v>
      </c>
      <c r="L32" s="137" t="s">
        <v>97</v>
      </c>
      <c r="M32" s="137" t="s">
        <v>97</v>
      </c>
      <c r="N32" s="137" t="s">
        <v>97</v>
      </c>
      <c r="O32" s="137" t="s">
        <v>97</v>
      </c>
      <c r="P32" s="137" t="s">
        <v>97</v>
      </c>
      <c r="Q32" s="137" t="s">
        <v>97</v>
      </c>
      <c r="R32" s="137" t="s">
        <v>97</v>
      </c>
      <c r="S32" s="137" t="s">
        <v>97</v>
      </c>
      <c r="T32" s="137" t="s">
        <v>97</v>
      </c>
      <c r="U32" s="137" t="s">
        <v>97</v>
      </c>
      <c r="V32" s="137" t="s">
        <v>97</v>
      </c>
      <c r="W32" s="137" t="s">
        <v>97</v>
      </c>
      <c r="X32" s="137" t="s">
        <v>97</v>
      </c>
      <c r="Y32" s="137" t="s">
        <v>97</v>
      </c>
      <c r="Z32" s="137" t="s">
        <v>97</v>
      </c>
      <c r="AA32" s="137" t="s">
        <v>97</v>
      </c>
      <c r="AB32" s="137" t="s">
        <v>97</v>
      </c>
      <c r="AC32" s="137" t="s">
        <v>97</v>
      </c>
      <c r="AD32" s="137" t="s">
        <v>97</v>
      </c>
      <c r="AE32" s="137" t="s">
        <v>97</v>
      </c>
      <c r="AF32" s="137" t="s">
        <v>97</v>
      </c>
      <c r="AG32" s="137" t="s">
        <v>97</v>
      </c>
      <c r="AH32" s="137" t="s">
        <v>97</v>
      </c>
      <c r="AI32" s="137" t="s">
        <v>97</v>
      </c>
      <c r="AJ32" s="137" t="s">
        <v>97</v>
      </c>
      <c r="AK32" s="137" t="s">
        <v>97</v>
      </c>
      <c r="AL32" s="137" t="s">
        <v>97</v>
      </c>
      <c r="AM32" s="137" t="s">
        <v>97</v>
      </c>
      <c r="AN32" s="137" t="s">
        <v>97</v>
      </c>
      <c r="AO32" s="137" t="s">
        <v>97</v>
      </c>
      <c r="AP32" s="137" t="s">
        <v>97</v>
      </c>
      <c r="AQ32" s="137" t="s">
        <v>97</v>
      </c>
      <c r="AR32" s="137" t="s">
        <v>97</v>
      </c>
      <c r="AS32" s="137" t="s">
        <v>97</v>
      </c>
      <c r="AT32" s="137" t="s">
        <v>97</v>
      </c>
      <c r="AU32" s="137" t="s">
        <v>97</v>
      </c>
      <c r="AV32" s="137" t="s">
        <v>97</v>
      </c>
      <c r="AW32" s="137" t="s">
        <v>97</v>
      </c>
      <c r="AX32" s="137" t="s">
        <v>97</v>
      </c>
      <c r="AY32" s="137" t="s">
        <v>97</v>
      </c>
      <c r="AZ32" s="137" t="s">
        <v>97</v>
      </c>
      <c r="BA32" s="137" t="s">
        <v>97</v>
      </c>
      <c r="BB32" s="137" t="s">
        <v>97</v>
      </c>
      <c r="BC32" s="137" t="s">
        <v>97</v>
      </c>
      <c r="BD32" s="137" t="s">
        <v>97</v>
      </c>
      <c r="BE32" s="137" t="s">
        <v>97</v>
      </c>
      <c r="BF32" s="137" t="s">
        <v>97</v>
      </c>
      <c r="BG32" s="137" t="s">
        <v>97</v>
      </c>
      <c r="BH32" s="137" t="s">
        <v>97</v>
      </c>
      <c r="BI32" s="137" t="s">
        <v>97</v>
      </c>
      <c r="BJ32" s="137" t="s">
        <v>97</v>
      </c>
      <c r="BK32" s="137" t="s">
        <v>97</v>
      </c>
      <c r="BL32" s="137" t="s">
        <v>97</v>
      </c>
      <c r="BM32" s="137" t="s">
        <v>97</v>
      </c>
      <c r="BN32" s="137" t="s">
        <v>97</v>
      </c>
      <c r="BO32" s="137" t="s">
        <v>97</v>
      </c>
      <c r="BP32" s="137" t="s">
        <v>97</v>
      </c>
      <c r="BQ32" s="137" t="s">
        <v>97</v>
      </c>
      <c r="BR32" s="137" t="s">
        <v>97</v>
      </c>
      <c r="BS32" s="137" t="s">
        <v>97</v>
      </c>
      <c r="BT32" s="137" t="s">
        <v>97</v>
      </c>
      <c r="BU32" s="137" t="s">
        <v>97</v>
      </c>
      <c r="BV32" s="137" t="s">
        <v>97</v>
      </c>
      <c r="BW32" s="137" t="s">
        <v>97</v>
      </c>
      <c r="BX32" s="137" t="s">
        <v>97</v>
      </c>
      <c r="BY32" s="137" t="s">
        <v>97</v>
      </c>
      <c r="BZ32" s="137" t="s">
        <v>97</v>
      </c>
      <c r="CA32" s="137" t="s">
        <v>97</v>
      </c>
      <c r="CB32" s="137" t="s">
        <v>97</v>
      </c>
      <c r="CC32" s="137" t="s">
        <v>97</v>
      </c>
      <c r="CD32" s="137" t="s">
        <v>97</v>
      </c>
      <c r="CE32" s="137" t="s">
        <v>97</v>
      </c>
      <c r="CF32" s="137" t="s">
        <v>97</v>
      </c>
      <c r="CG32" s="137" t="s">
        <v>97</v>
      </c>
      <c r="CH32" s="137" t="s">
        <v>97</v>
      </c>
      <c r="CI32" s="137" t="s">
        <v>97</v>
      </c>
      <c r="CJ32" s="137" t="s">
        <v>97</v>
      </c>
      <c r="CK32" s="137" t="s">
        <v>97</v>
      </c>
      <c r="CL32" s="137" t="s">
        <v>97</v>
      </c>
      <c r="CM32" s="137" t="s">
        <v>97</v>
      </c>
      <c r="CN32" s="137" t="s">
        <v>97</v>
      </c>
      <c r="CO32" s="137" t="s">
        <v>97</v>
      </c>
      <c r="CP32" s="137" t="s">
        <v>97</v>
      </c>
      <c r="CQ32" s="137" t="s">
        <v>97</v>
      </c>
      <c r="CR32" s="137" t="s">
        <v>97</v>
      </c>
      <c r="CS32" s="137" t="s">
        <v>97</v>
      </c>
      <c r="CT32" s="137" t="s">
        <v>97</v>
      </c>
      <c r="CU32" s="137" t="s">
        <v>97</v>
      </c>
      <c r="CV32" s="137" t="s">
        <v>97</v>
      </c>
      <c r="CW32" s="137" t="s">
        <v>97</v>
      </c>
      <c r="CX32" s="137" t="s">
        <v>97</v>
      </c>
      <c r="CY32" s="137" t="s">
        <v>97</v>
      </c>
      <c r="CZ32" s="137" t="s">
        <v>97</v>
      </c>
      <c r="DA32" s="137" t="s">
        <v>97</v>
      </c>
      <c r="DB32" s="137" t="s">
        <v>97</v>
      </c>
      <c r="DC32" s="137" t="s">
        <v>97</v>
      </c>
      <c r="DD32" s="137" t="s">
        <v>97</v>
      </c>
      <c r="DE32" s="137" t="s">
        <v>97</v>
      </c>
      <c r="DF32" s="137" t="s">
        <v>97</v>
      </c>
      <c r="DG32" s="137" t="s">
        <v>97</v>
      </c>
      <c r="DH32" s="137" t="s">
        <v>97</v>
      </c>
      <c r="DI32" s="137" t="s">
        <v>97</v>
      </c>
      <c r="DJ32" s="137" t="s">
        <v>97</v>
      </c>
      <c r="DK32" s="137" t="s">
        <v>97</v>
      </c>
      <c r="DL32" s="137" t="s">
        <v>97</v>
      </c>
      <c r="DM32" s="137" t="s">
        <v>97</v>
      </c>
      <c r="DN32" s="137" t="s">
        <v>97</v>
      </c>
      <c r="DO32" s="137" t="s">
        <v>97</v>
      </c>
      <c r="DP32" s="137" t="s">
        <v>97</v>
      </c>
      <c r="DW32" s="137" t="s">
        <v>97</v>
      </c>
      <c r="DX32" s="137" t="s">
        <v>97</v>
      </c>
      <c r="DY32" s="137" t="s">
        <v>97</v>
      </c>
      <c r="DZ32" s="137" t="s">
        <v>97</v>
      </c>
    </row>
    <row r="33" spans="1:130" s="186" customFormat="1" ht="15.75" outlineLevel="1" thickBot="1">
      <c r="A33" s="662"/>
      <c r="B33" s="58" t="str">
        <f t="shared" si="3"/>
        <v xml:space="preserve"> </v>
      </c>
      <c r="C33" s="58" t="str">
        <f t="shared" si="0"/>
        <v xml:space="preserve"> </v>
      </c>
      <c r="D33" s="58" t="str">
        <f t="shared" si="4"/>
        <v xml:space="preserve"> </v>
      </c>
      <c r="E33" s="85" t="str">
        <f t="shared" si="5"/>
        <v xml:space="preserve"> </v>
      </c>
      <c r="F33" s="639"/>
      <c r="G33" s="162" t="s">
        <v>97</v>
      </c>
      <c r="H33" s="15" t="s">
        <v>97</v>
      </c>
      <c r="I33" s="15" t="s">
        <v>97</v>
      </c>
      <c r="J33" s="15" t="s">
        <v>97</v>
      </c>
      <c r="K33" s="15" t="s">
        <v>97</v>
      </c>
      <c r="L33" s="15" t="s">
        <v>97</v>
      </c>
      <c r="M33" s="15" t="s">
        <v>97</v>
      </c>
      <c r="N33" s="15" t="s">
        <v>97</v>
      </c>
      <c r="O33" s="15" t="s">
        <v>97</v>
      </c>
      <c r="P33" s="15" t="s">
        <v>97</v>
      </c>
      <c r="Q33" s="15" t="s">
        <v>97</v>
      </c>
      <c r="R33" s="15" t="s">
        <v>97</v>
      </c>
      <c r="S33" s="15" t="s">
        <v>97</v>
      </c>
      <c r="T33" s="15" t="s">
        <v>97</v>
      </c>
      <c r="U33" s="15" t="s">
        <v>97</v>
      </c>
      <c r="V33" s="15" t="s">
        <v>97</v>
      </c>
      <c r="W33" s="15" t="s">
        <v>97</v>
      </c>
      <c r="X33" s="15" t="s">
        <v>97</v>
      </c>
      <c r="Y33" s="15" t="s">
        <v>97</v>
      </c>
      <c r="Z33" s="15" t="s">
        <v>97</v>
      </c>
      <c r="AA33" s="15" t="s">
        <v>97</v>
      </c>
      <c r="AB33" s="15" t="s">
        <v>97</v>
      </c>
      <c r="AC33" s="15" t="s">
        <v>97</v>
      </c>
      <c r="AD33" s="15" t="s">
        <v>97</v>
      </c>
      <c r="AE33" s="15" t="s">
        <v>97</v>
      </c>
      <c r="AF33" s="15" t="s">
        <v>97</v>
      </c>
      <c r="AG33" s="15" t="s">
        <v>97</v>
      </c>
      <c r="AH33" s="15" t="s">
        <v>97</v>
      </c>
      <c r="AI33" s="15" t="s">
        <v>97</v>
      </c>
      <c r="AJ33" s="15" t="s">
        <v>97</v>
      </c>
      <c r="AK33" s="15" t="s">
        <v>97</v>
      </c>
      <c r="AL33" s="15" t="s">
        <v>97</v>
      </c>
      <c r="AM33" s="15" t="s">
        <v>97</v>
      </c>
      <c r="AN33" s="15" t="s">
        <v>97</v>
      </c>
      <c r="AO33" s="15" t="s">
        <v>97</v>
      </c>
      <c r="AP33" s="15" t="s">
        <v>97</v>
      </c>
      <c r="AQ33" s="15" t="s">
        <v>97</v>
      </c>
      <c r="AR33" s="15" t="s">
        <v>97</v>
      </c>
      <c r="AS33" s="15" t="s">
        <v>97</v>
      </c>
      <c r="AT33" s="15" t="s">
        <v>97</v>
      </c>
      <c r="AU33" s="15" t="s">
        <v>97</v>
      </c>
      <c r="AV33" s="15" t="s">
        <v>97</v>
      </c>
      <c r="AW33" s="15" t="s">
        <v>97</v>
      </c>
      <c r="AX33" s="15" t="s">
        <v>97</v>
      </c>
      <c r="AY33" s="15" t="s">
        <v>97</v>
      </c>
      <c r="AZ33" s="15" t="s">
        <v>97</v>
      </c>
      <c r="BA33" s="15" t="s">
        <v>97</v>
      </c>
      <c r="BB33" s="15" t="s">
        <v>97</v>
      </c>
      <c r="BC33" s="15" t="s">
        <v>97</v>
      </c>
      <c r="BD33" s="15" t="s">
        <v>97</v>
      </c>
      <c r="BE33" s="15" t="s">
        <v>97</v>
      </c>
      <c r="BF33" s="15" t="s">
        <v>97</v>
      </c>
      <c r="BG33" s="15" t="s">
        <v>97</v>
      </c>
      <c r="BH33" s="15" t="s">
        <v>97</v>
      </c>
      <c r="BI33" s="15" t="s">
        <v>97</v>
      </c>
      <c r="BJ33" s="15" t="s">
        <v>97</v>
      </c>
      <c r="BK33" s="15" t="s">
        <v>97</v>
      </c>
      <c r="BL33" s="15" t="s">
        <v>97</v>
      </c>
      <c r="BM33" s="15" t="s">
        <v>97</v>
      </c>
      <c r="BN33" s="15" t="s">
        <v>97</v>
      </c>
      <c r="BO33" s="15" t="s">
        <v>97</v>
      </c>
      <c r="BP33" s="15" t="s">
        <v>97</v>
      </c>
      <c r="BQ33" s="15" t="s">
        <v>97</v>
      </c>
      <c r="BR33" s="15" t="s">
        <v>97</v>
      </c>
      <c r="BS33" s="15" t="s">
        <v>97</v>
      </c>
      <c r="BT33" s="15" t="s">
        <v>97</v>
      </c>
      <c r="BU33" s="15" t="s">
        <v>97</v>
      </c>
      <c r="BV33" s="15" t="s">
        <v>97</v>
      </c>
      <c r="BW33" s="15" t="s">
        <v>97</v>
      </c>
      <c r="BX33" s="15" t="s">
        <v>97</v>
      </c>
      <c r="BY33" s="15" t="s">
        <v>97</v>
      </c>
      <c r="BZ33" s="15" t="s">
        <v>97</v>
      </c>
      <c r="CA33" s="15" t="s">
        <v>97</v>
      </c>
      <c r="CB33" s="15" t="s">
        <v>97</v>
      </c>
      <c r="CC33" s="15" t="s">
        <v>97</v>
      </c>
      <c r="CD33" s="15" t="s">
        <v>97</v>
      </c>
      <c r="CE33" s="15" t="s">
        <v>97</v>
      </c>
      <c r="CF33" s="15" t="s">
        <v>97</v>
      </c>
      <c r="CG33" s="15" t="s">
        <v>97</v>
      </c>
      <c r="CH33" s="15" t="s">
        <v>97</v>
      </c>
      <c r="CI33" s="15" t="s">
        <v>97</v>
      </c>
      <c r="CJ33" s="15" t="s">
        <v>97</v>
      </c>
      <c r="CK33" s="15" t="s">
        <v>97</v>
      </c>
      <c r="CL33" s="15" t="s">
        <v>97</v>
      </c>
      <c r="CM33" s="15" t="s">
        <v>97</v>
      </c>
      <c r="CN33" s="15" t="s">
        <v>97</v>
      </c>
      <c r="CO33" s="15" t="s">
        <v>97</v>
      </c>
      <c r="CP33" s="15" t="s">
        <v>97</v>
      </c>
      <c r="CQ33" s="15" t="s">
        <v>97</v>
      </c>
      <c r="CR33" s="15" t="s">
        <v>97</v>
      </c>
      <c r="CS33" s="15" t="s">
        <v>97</v>
      </c>
      <c r="CT33" s="15" t="s">
        <v>97</v>
      </c>
      <c r="CU33" s="15" t="s">
        <v>97</v>
      </c>
      <c r="CV33" s="15" t="s">
        <v>97</v>
      </c>
      <c r="CW33" s="15" t="s">
        <v>97</v>
      </c>
      <c r="CX33" s="15" t="s">
        <v>97</v>
      </c>
      <c r="CY33" s="15" t="s">
        <v>97</v>
      </c>
      <c r="CZ33" s="15" t="s">
        <v>97</v>
      </c>
      <c r="DA33" s="15" t="s">
        <v>97</v>
      </c>
      <c r="DB33" s="15" t="s">
        <v>97</v>
      </c>
      <c r="DC33" s="15" t="s">
        <v>97</v>
      </c>
      <c r="DD33" s="15" t="s">
        <v>97</v>
      </c>
      <c r="DE33" s="15" t="s">
        <v>97</v>
      </c>
      <c r="DF33" s="15" t="s">
        <v>97</v>
      </c>
      <c r="DG33" s="15" t="s">
        <v>97</v>
      </c>
      <c r="DH33" s="15" t="s">
        <v>97</v>
      </c>
      <c r="DI33" s="15" t="s">
        <v>97</v>
      </c>
      <c r="DJ33" s="15" t="s">
        <v>97</v>
      </c>
      <c r="DK33" s="15" t="s">
        <v>97</v>
      </c>
      <c r="DL33" s="15" t="s">
        <v>97</v>
      </c>
      <c r="DM33" s="15" t="s">
        <v>97</v>
      </c>
      <c r="DN33" s="15" t="s">
        <v>97</v>
      </c>
      <c r="DO33" s="15" t="s">
        <v>97</v>
      </c>
      <c r="DP33" s="15" t="s">
        <v>97</v>
      </c>
      <c r="DW33" s="15" t="s">
        <v>97</v>
      </c>
      <c r="DX33" s="15" t="s">
        <v>97</v>
      </c>
      <c r="DY33" s="15" t="s">
        <v>97</v>
      </c>
      <c r="DZ33" s="15" t="s">
        <v>97</v>
      </c>
    </row>
    <row r="34" spans="1:130" outlineLevel="1">
      <c r="A34" s="652" t="s">
        <v>799</v>
      </c>
      <c r="B34" s="59" t="str">
        <f t="shared" si="3"/>
        <v>Connaissances générales (Empire)</v>
      </c>
      <c r="C34" s="59" t="str">
        <f t="shared" ref="C34:C65" si="6">LOOKUP(Carriere1,$G$1:$DP$1,$G34:$DP34)</f>
        <v>Connaissances générales (Bretonnie)</v>
      </c>
      <c r="D34" s="59" t="str">
        <f t="shared" si="4"/>
        <v>Baratin</v>
      </c>
      <c r="E34" s="178" t="str">
        <f t="shared" si="5"/>
        <v>Connaissances générales (Empire)</v>
      </c>
      <c r="F34" s="643" t="s">
        <v>799</v>
      </c>
      <c r="G34" s="64" t="s">
        <v>97</v>
      </c>
      <c r="H34" s="209" t="s">
        <v>551</v>
      </c>
      <c r="I34" s="210" t="s">
        <v>581</v>
      </c>
      <c r="J34" s="210" t="s">
        <v>872</v>
      </c>
      <c r="K34" s="210" t="s">
        <v>563</v>
      </c>
      <c r="L34" s="210" t="s">
        <v>544</v>
      </c>
      <c r="M34" s="210" t="s">
        <v>532</v>
      </c>
      <c r="N34" s="210" t="s">
        <v>554</v>
      </c>
      <c r="O34" s="210" t="s">
        <v>588</v>
      </c>
      <c r="P34" s="210" t="s">
        <v>554</v>
      </c>
      <c r="Q34" s="210" t="s">
        <v>554</v>
      </c>
      <c r="R34" s="210" t="s">
        <v>558</v>
      </c>
      <c r="S34" s="210" t="s">
        <v>554</v>
      </c>
      <c r="T34" s="210" t="s">
        <v>606</v>
      </c>
      <c r="U34" s="210" t="s">
        <v>587</v>
      </c>
      <c r="V34" s="210" t="s">
        <v>772</v>
      </c>
      <c r="W34" s="210" t="s">
        <v>772</v>
      </c>
      <c r="X34" s="210" t="s">
        <v>548</v>
      </c>
      <c r="Y34" s="210" t="s">
        <v>548</v>
      </c>
      <c r="Z34" s="210" t="s">
        <v>587</v>
      </c>
      <c r="AA34" s="210" t="s">
        <v>532</v>
      </c>
      <c r="AB34" s="210" t="s">
        <v>544</v>
      </c>
      <c r="AC34" s="210" t="s">
        <v>587</v>
      </c>
      <c r="AD34" s="210" t="s">
        <v>584</v>
      </c>
      <c r="AE34" s="210" t="s">
        <v>586</v>
      </c>
      <c r="AF34" s="210" t="s">
        <v>872</v>
      </c>
      <c r="AG34" s="210" t="s">
        <v>586</v>
      </c>
      <c r="AH34" s="210" t="s">
        <v>554</v>
      </c>
      <c r="AI34" s="210" t="s">
        <v>566</v>
      </c>
      <c r="AJ34" s="210" t="s">
        <v>587</v>
      </c>
      <c r="AK34" s="210" t="s">
        <v>548</v>
      </c>
      <c r="AL34" s="210" t="s">
        <v>548</v>
      </c>
      <c r="AM34" s="210" t="s">
        <v>581</v>
      </c>
      <c r="AN34" s="210" t="s">
        <v>588</v>
      </c>
      <c r="AO34" s="210" t="s">
        <v>548</v>
      </c>
      <c r="AP34" s="210" t="s">
        <v>532</v>
      </c>
      <c r="AQ34" s="210" t="s">
        <v>532</v>
      </c>
      <c r="AR34" s="210" t="s">
        <v>582</v>
      </c>
      <c r="AS34" s="210" t="s">
        <v>591</v>
      </c>
      <c r="AT34" s="210" t="s">
        <v>538</v>
      </c>
      <c r="AU34" s="210" t="s">
        <v>872</v>
      </c>
      <c r="AV34" s="210" t="s">
        <v>554</v>
      </c>
      <c r="AW34" s="210" t="s">
        <v>774</v>
      </c>
      <c r="AX34" s="210" t="s">
        <v>532</v>
      </c>
      <c r="AY34" s="210" t="s">
        <v>765</v>
      </c>
      <c r="AZ34" s="210" t="s">
        <v>550</v>
      </c>
      <c r="BA34" s="210" t="s">
        <v>586</v>
      </c>
      <c r="BB34" s="210" t="s">
        <v>583</v>
      </c>
      <c r="BC34" s="210" t="s">
        <v>583</v>
      </c>
      <c r="BD34" s="210" t="s">
        <v>554</v>
      </c>
      <c r="BE34" s="210" t="s">
        <v>578</v>
      </c>
      <c r="BF34" s="210" t="s">
        <v>548</v>
      </c>
      <c r="BG34" s="210" t="s">
        <v>548</v>
      </c>
      <c r="BH34" s="210" t="s">
        <v>591</v>
      </c>
      <c r="BI34" s="210" t="s">
        <v>548</v>
      </c>
      <c r="BJ34" s="210" t="s">
        <v>774</v>
      </c>
      <c r="BK34" s="210" t="s">
        <v>532</v>
      </c>
      <c r="BL34" s="210" t="s">
        <v>588</v>
      </c>
      <c r="BM34" s="210" t="s">
        <v>866</v>
      </c>
      <c r="BN34" s="210" t="s">
        <v>583</v>
      </c>
      <c r="BO34" s="210" t="s">
        <v>578</v>
      </c>
      <c r="BP34" s="210" t="s">
        <v>556</v>
      </c>
      <c r="BQ34" s="210" t="s">
        <v>584</v>
      </c>
      <c r="BR34" s="210" t="s">
        <v>581</v>
      </c>
      <c r="BS34" s="139" t="s">
        <v>563</v>
      </c>
      <c r="BT34" s="210" t="s">
        <v>765</v>
      </c>
      <c r="BU34" s="210" t="s">
        <v>552</v>
      </c>
      <c r="BV34" s="210" t="s">
        <v>590</v>
      </c>
      <c r="BW34" s="210" t="s">
        <v>582</v>
      </c>
      <c r="BX34" s="210" t="s">
        <v>765</v>
      </c>
      <c r="BY34" s="210" t="s">
        <v>606</v>
      </c>
      <c r="BZ34" s="210" t="s">
        <v>552</v>
      </c>
      <c r="CA34" s="210" t="s">
        <v>586</v>
      </c>
      <c r="CB34" s="210" t="s">
        <v>548</v>
      </c>
      <c r="CC34" s="210" t="s">
        <v>577</v>
      </c>
      <c r="CD34" s="210" t="s">
        <v>583</v>
      </c>
      <c r="CE34" s="210" t="s">
        <v>588</v>
      </c>
      <c r="CF34" s="210" t="s">
        <v>834</v>
      </c>
      <c r="CG34" s="210" t="s">
        <v>532</v>
      </c>
      <c r="CH34" s="210" t="s">
        <v>765</v>
      </c>
      <c r="CI34" s="210" t="s">
        <v>554</v>
      </c>
      <c r="CJ34" s="210" t="s">
        <v>586</v>
      </c>
      <c r="CK34" s="210" t="s">
        <v>533</v>
      </c>
      <c r="CL34" s="210" t="s">
        <v>554</v>
      </c>
      <c r="CM34" s="210" t="s">
        <v>588</v>
      </c>
      <c r="CN34" s="210" t="s">
        <v>586</v>
      </c>
      <c r="CO34" s="210" t="s">
        <v>586</v>
      </c>
      <c r="CP34" s="210" t="s">
        <v>532</v>
      </c>
      <c r="CQ34" s="210" t="s">
        <v>586</v>
      </c>
      <c r="CR34" s="210" t="s">
        <v>604</v>
      </c>
      <c r="CS34" s="210" t="s">
        <v>773</v>
      </c>
      <c r="CT34" s="210" t="s">
        <v>588</v>
      </c>
      <c r="CU34" s="210" t="s">
        <v>554</v>
      </c>
      <c r="CV34" s="210" t="s">
        <v>533</v>
      </c>
      <c r="CW34" s="210" t="s">
        <v>591</v>
      </c>
      <c r="CX34" s="210" t="s">
        <v>578</v>
      </c>
      <c r="CY34" s="210" t="s">
        <v>581</v>
      </c>
      <c r="CZ34" s="210" t="s">
        <v>587</v>
      </c>
      <c r="DA34" s="210" t="s">
        <v>604</v>
      </c>
      <c r="DB34" s="210" t="s">
        <v>774</v>
      </c>
      <c r="DC34" s="210" t="s">
        <v>605</v>
      </c>
      <c r="DD34" s="210" t="s">
        <v>772</v>
      </c>
      <c r="DE34" s="211" t="s">
        <v>532</v>
      </c>
      <c r="DF34" s="211" t="s">
        <v>554</v>
      </c>
      <c r="DG34" s="211" t="s">
        <v>601</v>
      </c>
      <c r="DH34" s="211" t="s">
        <v>548</v>
      </c>
      <c r="DI34" s="211" t="s">
        <v>588</v>
      </c>
      <c r="DJ34" s="211" t="s">
        <v>765</v>
      </c>
      <c r="DK34" s="211" t="s">
        <v>764</v>
      </c>
      <c r="DL34" s="211" t="s">
        <v>548</v>
      </c>
      <c r="DM34" s="211" t="s">
        <v>587</v>
      </c>
      <c r="DN34" s="211" t="s">
        <v>532</v>
      </c>
      <c r="DO34" s="211" t="s">
        <v>554</v>
      </c>
      <c r="DP34" s="212" t="s">
        <v>588</v>
      </c>
      <c r="DW34" s="212" t="s">
        <v>553</v>
      </c>
      <c r="DX34" s="212" t="s">
        <v>579</v>
      </c>
      <c r="DY34" s="212" t="s">
        <v>554</v>
      </c>
      <c r="DZ34" s="212" t="s">
        <v>557</v>
      </c>
    </row>
    <row r="35" spans="1:130" outlineLevel="1">
      <c r="A35" s="653"/>
      <c r="B35" s="57" t="str">
        <f t="shared" si="3"/>
        <v>Langue (Reikspiel)</v>
      </c>
      <c r="C35" s="57" t="str">
        <f t="shared" si="6"/>
        <v>Connaissances générales (Norsca)</v>
      </c>
      <c r="D35" s="57" t="str">
        <f t="shared" si="4"/>
        <v>Connaissances académique (Généaologie/Héraldique)</v>
      </c>
      <c r="E35" s="84" t="str">
        <f t="shared" si="5"/>
        <v xml:space="preserve"> </v>
      </c>
      <c r="F35" s="644"/>
      <c r="G35" s="64" t="s">
        <v>97</v>
      </c>
      <c r="H35" s="172" t="s">
        <v>584</v>
      </c>
      <c r="I35" s="139" t="s">
        <v>543</v>
      </c>
      <c r="J35" s="139" t="s">
        <v>584</v>
      </c>
      <c r="K35" s="139" t="s">
        <v>541</v>
      </c>
      <c r="L35" s="139" t="s">
        <v>753</v>
      </c>
      <c r="M35" s="139" t="s">
        <v>554</v>
      </c>
      <c r="N35" s="139" t="s">
        <v>549</v>
      </c>
      <c r="O35" s="139" t="s">
        <v>554</v>
      </c>
      <c r="P35" s="139" t="s">
        <v>547</v>
      </c>
      <c r="Q35" s="139" t="s">
        <v>556</v>
      </c>
      <c r="R35" s="139" t="s">
        <v>546</v>
      </c>
      <c r="S35" s="139" t="s">
        <v>566</v>
      </c>
      <c r="T35" s="139" t="s">
        <v>751</v>
      </c>
      <c r="U35" s="139" t="s">
        <v>533</v>
      </c>
      <c r="V35" s="139" t="s">
        <v>896</v>
      </c>
      <c r="W35" s="139" t="s">
        <v>896</v>
      </c>
      <c r="X35" s="139" t="s">
        <v>97</v>
      </c>
      <c r="Y35" s="139" t="s">
        <v>97</v>
      </c>
      <c r="Z35" s="139" t="s">
        <v>554</v>
      </c>
      <c r="AA35" s="139" t="s">
        <v>552</v>
      </c>
      <c r="AB35" s="139" t="s">
        <v>537</v>
      </c>
      <c r="AC35" s="139" t="s">
        <v>533</v>
      </c>
      <c r="AD35" s="139" t="s">
        <v>605</v>
      </c>
      <c r="AE35" s="139" t="s">
        <v>588</v>
      </c>
      <c r="AF35" s="139" t="s">
        <v>583</v>
      </c>
      <c r="AG35" s="139" t="s">
        <v>920</v>
      </c>
      <c r="AH35" s="139" t="s">
        <v>97</v>
      </c>
      <c r="AI35" s="139" t="s">
        <v>607</v>
      </c>
      <c r="AJ35" s="139" t="s">
        <v>566</v>
      </c>
      <c r="AK35" s="139" t="s">
        <v>566</v>
      </c>
      <c r="AL35" s="139" t="s">
        <v>544</v>
      </c>
      <c r="AM35" s="139" t="s">
        <v>604</v>
      </c>
      <c r="AN35" s="139" t="s">
        <v>565</v>
      </c>
      <c r="AO35" s="139" t="s">
        <v>565</v>
      </c>
      <c r="AP35" s="139" t="s">
        <v>898</v>
      </c>
      <c r="AQ35" s="139" t="s">
        <v>578</v>
      </c>
      <c r="AR35" s="139" t="s">
        <v>555</v>
      </c>
      <c r="AS35" s="139" t="s">
        <v>548</v>
      </c>
      <c r="AT35" s="139" t="s">
        <v>537</v>
      </c>
      <c r="AU35" s="139" t="s">
        <v>552</v>
      </c>
      <c r="AV35" s="139" t="s">
        <v>590</v>
      </c>
      <c r="AW35" s="139" t="s">
        <v>777</v>
      </c>
      <c r="AX35" s="139" t="s">
        <v>546</v>
      </c>
      <c r="AY35" s="139" t="s">
        <v>603</v>
      </c>
      <c r="AZ35" s="139" t="s">
        <v>567</v>
      </c>
      <c r="BA35" s="139" t="s">
        <v>578</v>
      </c>
      <c r="BB35" s="139" t="s">
        <v>554</v>
      </c>
      <c r="BC35" s="139" t="s">
        <v>567</v>
      </c>
      <c r="BD35" s="139" t="s">
        <v>591</v>
      </c>
      <c r="BE35" s="139" t="s">
        <v>548</v>
      </c>
      <c r="BF35" s="139" t="s">
        <v>606</v>
      </c>
      <c r="BG35" s="139" t="s">
        <v>537</v>
      </c>
      <c r="BH35" s="139" t="s">
        <v>548</v>
      </c>
      <c r="BI35" s="139" t="s">
        <v>97</v>
      </c>
      <c r="BJ35" s="139" t="s">
        <v>583</v>
      </c>
      <c r="BK35" s="139" t="s">
        <v>872</v>
      </c>
      <c r="BL35" s="139" t="s">
        <v>533</v>
      </c>
      <c r="BM35" s="139" t="s">
        <v>557</v>
      </c>
      <c r="BN35" s="139" t="s">
        <v>77</v>
      </c>
      <c r="BO35" s="139" t="s">
        <v>554</v>
      </c>
      <c r="BP35" s="139" t="s">
        <v>548</v>
      </c>
      <c r="BQ35" s="139" t="s">
        <v>554</v>
      </c>
      <c r="BR35" s="139" t="s">
        <v>773</v>
      </c>
      <c r="BS35" s="139" t="s">
        <v>566</v>
      </c>
      <c r="BT35" s="139" t="s">
        <v>563</v>
      </c>
      <c r="BU35" s="139" t="s">
        <v>558</v>
      </c>
      <c r="BV35" s="139" t="s">
        <v>548</v>
      </c>
      <c r="BW35" s="139" t="s">
        <v>567</v>
      </c>
      <c r="BX35" s="139" t="s">
        <v>597</v>
      </c>
      <c r="BY35" s="139" t="s">
        <v>78</v>
      </c>
      <c r="BZ35" s="139" t="s">
        <v>556</v>
      </c>
      <c r="CA35" s="139" t="s">
        <v>554</v>
      </c>
      <c r="CB35" s="139" t="s">
        <v>574</v>
      </c>
      <c r="CC35" s="139" t="s">
        <v>538</v>
      </c>
      <c r="CD35" s="139" t="s">
        <v>765</v>
      </c>
      <c r="CE35" s="139" t="s">
        <v>603</v>
      </c>
      <c r="CF35" s="139" t="s">
        <v>765</v>
      </c>
      <c r="CG35" s="139" t="s">
        <v>554</v>
      </c>
      <c r="CH35" s="139" t="s">
        <v>548</v>
      </c>
      <c r="CI35" s="139" t="s">
        <v>589</v>
      </c>
      <c r="CJ35" s="139" t="s">
        <v>554</v>
      </c>
      <c r="CK35" s="139" t="s">
        <v>549</v>
      </c>
      <c r="CL35" s="139" t="s">
        <v>590</v>
      </c>
      <c r="CM35" s="139" t="s">
        <v>554</v>
      </c>
      <c r="CN35" s="139" t="s">
        <v>765</v>
      </c>
      <c r="CO35" s="139" t="s">
        <v>548</v>
      </c>
      <c r="CP35" s="139" t="s">
        <v>578</v>
      </c>
      <c r="CQ35" s="139" t="s">
        <v>548</v>
      </c>
      <c r="CR35" s="139" t="s">
        <v>583</v>
      </c>
      <c r="CS35" s="139" t="s">
        <v>583</v>
      </c>
      <c r="CT35" s="139" t="s">
        <v>603</v>
      </c>
      <c r="CU35" s="139" t="s">
        <v>548</v>
      </c>
      <c r="CV35" s="139" t="s">
        <v>549</v>
      </c>
      <c r="CW35" s="139" t="s">
        <v>97</v>
      </c>
      <c r="CX35" s="139" t="s">
        <v>554</v>
      </c>
      <c r="CY35" s="139" t="s">
        <v>605</v>
      </c>
      <c r="CZ35" s="139" t="s">
        <v>533</v>
      </c>
      <c r="DA35" s="139" t="s">
        <v>554</v>
      </c>
      <c r="DB35" s="139" t="s">
        <v>581</v>
      </c>
      <c r="DC35" s="139" t="s">
        <v>537</v>
      </c>
      <c r="DD35" s="139" t="s">
        <v>765</v>
      </c>
      <c r="DE35" s="111" t="s">
        <v>591</v>
      </c>
      <c r="DF35" s="111" t="s">
        <v>548</v>
      </c>
      <c r="DG35" s="111" t="s">
        <v>543</v>
      </c>
      <c r="DH35" s="111" t="s">
        <v>97</v>
      </c>
      <c r="DI35" s="111" t="s">
        <v>97</v>
      </c>
      <c r="DJ35" s="111" t="s">
        <v>548</v>
      </c>
      <c r="DK35" s="111" t="s">
        <v>548</v>
      </c>
      <c r="DL35" s="111" t="s">
        <v>478</v>
      </c>
      <c r="DM35" s="111" t="s">
        <v>588</v>
      </c>
      <c r="DN35" s="111" t="s">
        <v>872</v>
      </c>
      <c r="DO35" s="111" t="s">
        <v>548</v>
      </c>
      <c r="DP35" s="112" t="s">
        <v>603</v>
      </c>
      <c r="DW35" s="112" t="s">
        <v>394</v>
      </c>
      <c r="DX35" s="112" t="s">
        <v>580</v>
      </c>
      <c r="DY35" s="112" t="s">
        <v>607</v>
      </c>
      <c r="DZ35" s="112" t="s">
        <v>569</v>
      </c>
    </row>
    <row r="36" spans="1:130" outlineLevel="1">
      <c r="A36" s="653"/>
      <c r="B36" s="57" t="str">
        <f t="shared" si="3"/>
        <v xml:space="preserve"> </v>
      </c>
      <c r="C36" s="57" t="str">
        <f t="shared" si="6"/>
        <v>Connaissances générales (Pays perdu)</v>
      </c>
      <c r="D36" s="57">
        <f t="shared" si="4"/>
        <v>0</v>
      </c>
      <c r="E36" s="84" t="str">
        <f t="shared" si="5"/>
        <v xml:space="preserve"> </v>
      </c>
      <c r="F36" s="644"/>
      <c r="G36" s="64" t="s">
        <v>97</v>
      </c>
      <c r="H36" s="172" t="s">
        <v>554</v>
      </c>
      <c r="I36" s="139" t="s">
        <v>561</v>
      </c>
      <c r="J36" s="139" t="s">
        <v>772</v>
      </c>
      <c r="K36" s="139" t="s">
        <v>572</v>
      </c>
      <c r="L36" s="139" t="s">
        <v>97</v>
      </c>
      <c r="M36" s="139" t="s">
        <v>591</v>
      </c>
      <c r="N36" s="139" t="s">
        <v>97</v>
      </c>
      <c r="O36" s="139" t="s">
        <v>548</v>
      </c>
      <c r="P36" s="139" t="s">
        <v>607</v>
      </c>
      <c r="Q36" s="139" t="s">
        <v>564</v>
      </c>
      <c r="R36" s="139" t="s">
        <v>571</v>
      </c>
      <c r="S36" s="139" t="s">
        <v>570</v>
      </c>
      <c r="T36" s="139" t="s">
        <v>97</v>
      </c>
      <c r="U36" s="139" t="s">
        <v>564</v>
      </c>
      <c r="V36" s="139" t="s">
        <v>548</v>
      </c>
      <c r="W36" s="139" t="s">
        <v>549</v>
      </c>
      <c r="X36" s="139" t="s">
        <v>97</v>
      </c>
      <c r="Y36" s="139" t="s">
        <v>97</v>
      </c>
      <c r="Z36" s="139" t="s">
        <v>97</v>
      </c>
      <c r="AA36" s="139" t="s">
        <v>559</v>
      </c>
      <c r="AB36" s="139" t="s">
        <v>97</v>
      </c>
      <c r="AC36" s="139" t="s">
        <v>537</v>
      </c>
      <c r="AD36" s="139" t="s">
        <v>554</v>
      </c>
      <c r="AE36" s="139" t="s">
        <v>772</v>
      </c>
      <c r="AF36" s="139" t="s">
        <v>772</v>
      </c>
      <c r="AG36" s="139" t="s">
        <v>872</v>
      </c>
      <c r="AH36" s="139" t="s">
        <v>97</v>
      </c>
      <c r="AI36" s="139" t="s">
        <v>585</v>
      </c>
      <c r="AJ36" s="139" t="s">
        <v>607</v>
      </c>
      <c r="AK36" s="139" t="s">
        <v>607</v>
      </c>
      <c r="AL36" s="139" t="s">
        <v>538</v>
      </c>
      <c r="AM36" s="139" t="s">
        <v>895</v>
      </c>
      <c r="AN36" s="139" t="s">
        <v>566</v>
      </c>
      <c r="AO36" s="139" t="s">
        <v>97</v>
      </c>
      <c r="AP36" s="139" t="s">
        <v>584</v>
      </c>
      <c r="AQ36" s="139" t="s">
        <v>584</v>
      </c>
      <c r="AR36" s="139" t="s">
        <v>548</v>
      </c>
      <c r="AS36" s="139" t="s">
        <v>97</v>
      </c>
      <c r="AT36" s="139" t="s">
        <v>97</v>
      </c>
      <c r="AU36" s="139" t="s">
        <v>549</v>
      </c>
      <c r="AV36" s="139" t="s">
        <v>563</v>
      </c>
      <c r="AW36" s="139" t="s">
        <v>835</v>
      </c>
      <c r="AX36" s="139" t="s">
        <v>546</v>
      </c>
      <c r="AY36" s="139" t="s">
        <v>591</v>
      </c>
      <c r="AZ36" s="139" t="s">
        <v>607</v>
      </c>
      <c r="BA36" s="139" t="s">
        <v>584</v>
      </c>
      <c r="BB36" s="139" t="s">
        <v>541</v>
      </c>
      <c r="BC36" s="139" t="s">
        <v>606</v>
      </c>
      <c r="BD36" s="139" t="s">
        <v>97</v>
      </c>
      <c r="BE36" s="139" t="s">
        <v>537</v>
      </c>
      <c r="BF36" s="139" t="s">
        <v>97</v>
      </c>
      <c r="BG36" s="139" t="s">
        <v>606</v>
      </c>
      <c r="BH36" s="139" t="s">
        <v>606</v>
      </c>
      <c r="BI36" s="139" t="s">
        <v>97</v>
      </c>
      <c r="BJ36" s="139" t="s">
        <v>765</v>
      </c>
      <c r="BK36" s="139" t="s">
        <v>584</v>
      </c>
      <c r="BL36" s="139" t="s">
        <v>554</v>
      </c>
      <c r="BM36" s="139" t="s">
        <v>559</v>
      </c>
      <c r="BN36" s="139" t="s">
        <v>567</v>
      </c>
      <c r="BO36" s="139" t="s">
        <v>607</v>
      </c>
      <c r="BP36" s="139" t="s">
        <v>570</v>
      </c>
      <c r="BQ36" s="139" t="s">
        <v>563</v>
      </c>
      <c r="BR36" s="139" t="s">
        <v>765</v>
      </c>
      <c r="BS36" s="139" t="s">
        <v>585</v>
      </c>
      <c r="BT36" s="139" t="s">
        <v>566</v>
      </c>
      <c r="BU36" s="139" t="s">
        <v>590</v>
      </c>
      <c r="BV36" s="139" t="s">
        <v>562</v>
      </c>
      <c r="BW36" s="139" t="s">
        <v>541</v>
      </c>
      <c r="BX36" s="139" t="s">
        <v>599</v>
      </c>
      <c r="BY36" s="139" t="s">
        <v>97</v>
      </c>
      <c r="BZ36" s="139" t="s">
        <v>559</v>
      </c>
      <c r="CA36" s="139" t="s">
        <v>590</v>
      </c>
      <c r="CB36" s="139" t="s">
        <v>97</v>
      </c>
      <c r="CC36" s="139" t="s">
        <v>97</v>
      </c>
      <c r="CD36" s="139" t="s">
        <v>566</v>
      </c>
      <c r="CE36" s="139" t="s">
        <v>565</v>
      </c>
      <c r="CF36" s="139" t="s">
        <v>567</v>
      </c>
      <c r="CG36" s="139" t="s">
        <v>592</v>
      </c>
      <c r="CH36" s="139" t="s">
        <v>566</v>
      </c>
      <c r="CI36" s="139" t="s">
        <v>97</v>
      </c>
      <c r="CJ36" s="139" t="s">
        <v>538</v>
      </c>
      <c r="CK36" s="139" t="s">
        <v>601</v>
      </c>
      <c r="CL36" s="139" t="s">
        <v>571</v>
      </c>
      <c r="CM36" s="139" t="s">
        <v>603</v>
      </c>
      <c r="CN36" s="139" t="s">
        <v>601</v>
      </c>
      <c r="CO36" s="139" t="s">
        <v>97</v>
      </c>
      <c r="CP36" s="139" t="s">
        <v>872</v>
      </c>
      <c r="CQ36" s="139" t="s">
        <v>538</v>
      </c>
      <c r="CR36" s="139" t="s">
        <v>765</v>
      </c>
      <c r="CS36" s="139" t="s">
        <v>765</v>
      </c>
      <c r="CT36" s="139" t="s">
        <v>591</v>
      </c>
      <c r="CU36" s="139" t="s">
        <v>544</v>
      </c>
      <c r="CV36" s="139" t="s">
        <v>97</v>
      </c>
      <c r="CW36" s="139" t="s">
        <v>97</v>
      </c>
      <c r="CX36" s="139" t="s">
        <v>541</v>
      </c>
      <c r="CY36" s="139" t="s">
        <v>583</v>
      </c>
      <c r="CZ36" s="139" t="s">
        <v>548</v>
      </c>
      <c r="DA36" s="139" t="s">
        <v>563</v>
      </c>
      <c r="DB36" s="139" t="s">
        <v>777</v>
      </c>
      <c r="DC36" s="139" t="s">
        <v>97</v>
      </c>
      <c r="DD36" s="139" t="s">
        <v>548</v>
      </c>
      <c r="DE36" s="111" t="s">
        <v>548</v>
      </c>
      <c r="DF36" s="111" t="s">
        <v>606</v>
      </c>
      <c r="DG36" s="111" t="s">
        <v>542</v>
      </c>
      <c r="DH36" s="111" t="s">
        <v>97</v>
      </c>
      <c r="DI36" s="111" t="s">
        <v>97</v>
      </c>
      <c r="DJ36" s="111" t="s">
        <v>97</v>
      </c>
      <c r="DK36" s="111" t="s">
        <v>97</v>
      </c>
      <c r="DL36" s="111" t="s">
        <v>97</v>
      </c>
      <c r="DM36" s="111" t="s">
        <v>552</v>
      </c>
      <c r="DN36" s="111"/>
      <c r="DO36" s="111" t="s">
        <v>562</v>
      </c>
      <c r="DP36" s="112" t="s">
        <v>591</v>
      </c>
      <c r="DW36" s="112" t="s">
        <v>607</v>
      </c>
      <c r="DX36" s="112" t="s">
        <v>609</v>
      </c>
      <c r="DY36" s="112" t="s">
        <v>97</v>
      </c>
      <c r="DZ36" s="112" t="s">
        <v>607</v>
      </c>
    </row>
    <row r="37" spans="1:130" outlineLevel="1">
      <c r="A37" s="653"/>
      <c r="B37" s="57" t="str">
        <f t="shared" si="3"/>
        <v xml:space="preserve"> </v>
      </c>
      <c r="C37" s="57" t="str">
        <f t="shared" si="6"/>
        <v>Connaissances générales (Tilée)</v>
      </c>
      <c r="D37" s="57" t="str">
        <f t="shared" si="4"/>
        <v>Langue (Bretonnien)</v>
      </c>
      <c r="E37" s="84" t="str">
        <f t="shared" si="5"/>
        <v xml:space="preserve"> </v>
      </c>
      <c r="F37" s="644"/>
      <c r="G37" s="64" t="s">
        <v>97</v>
      </c>
      <c r="H37" s="172" t="s">
        <v>559</v>
      </c>
      <c r="I37" s="139" t="s">
        <v>567</v>
      </c>
      <c r="J37" s="172" t="s">
        <v>554</v>
      </c>
      <c r="K37" s="139" t="s">
        <v>97</v>
      </c>
      <c r="L37" s="139" t="s">
        <v>97</v>
      </c>
      <c r="M37" s="139" t="s">
        <v>566</v>
      </c>
      <c r="N37" s="139" t="s">
        <v>97</v>
      </c>
      <c r="O37" s="139" t="s">
        <v>565</v>
      </c>
      <c r="P37" s="139" t="s">
        <v>816</v>
      </c>
      <c r="Q37" s="139" t="s">
        <v>538</v>
      </c>
      <c r="R37" s="139" t="s">
        <v>97</v>
      </c>
      <c r="S37" s="139" t="s">
        <v>607</v>
      </c>
      <c r="T37" s="139" t="s">
        <v>97</v>
      </c>
      <c r="U37" s="139" t="s">
        <v>537</v>
      </c>
      <c r="V37" s="139" t="s">
        <v>562</v>
      </c>
      <c r="W37" s="139" t="s">
        <v>548</v>
      </c>
      <c r="X37" s="139" t="s">
        <v>97</v>
      </c>
      <c r="Y37" s="139" t="s">
        <v>97</v>
      </c>
      <c r="Z37" s="139" t="s">
        <v>97</v>
      </c>
      <c r="AA37" s="139" t="s">
        <v>591</v>
      </c>
      <c r="AB37" s="139" t="s">
        <v>97</v>
      </c>
      <c r="AC37" s="139" t="s">
        <v>97</v>
      </c>
      <c r="AD37" s="139" t="s">
        <v>548</v>
      </c>
      <c r="AE37" s="139" t="s">
        <v>554</v>
      </c>
      <c r="AF37" s="139" t="s">
        <v>548</v>
      </c>
      <c r="AG37" s="139" t="s">
        <v>583</v>
      </c>
      <c r="AH37" s="139" t="s">
        <v>97</v>
      </c>
      <c r="AI37" s="139" t="s">
        <v>541</v>
      </c>
      <c r="AJ37" s="139" t="s">
        <v>585</v>
      </c>
      <c r="AK37" s="139" t="s">
        <v>585</v>
      </c>
      <c r="AL37" s="139" t="s">
        <v>97</v>
      </c>
      <c r="AM37" s="139" t="s">
        <v>543</v>
      </c>
      <c r="AN37" s="139" t="s">
        <v>570</v>
      </c>
      <c r="AO37" s="139" t="s">
        <v>97</v>
      </c>
      <c r="AP37" s="139" t="s">
        <v>899</v>
      </c>
      <c r="AQ37" s="139" t="s">
        <v>554</v>
      </c>
      <c r="AR37" s="139" t="s">
        <v>568</v>
      </c>
      <c r="AS37" s="139" t="s">
        <v>97</v>
      </c>
      <c r="AT37" s="139" t="s">
        <v>97</v>
      </c>
      <c r="AU37" s="139" t="s">
        <v>548</v>
      </c>
      <c r="AV37" s="139" t="s">
        <v>541</v>
      </c>
      <c r="AW37" s="139" t="s">
        <v>780</v>
      </c>
      <c r="AX37" s="139" t="s">
        <v>565</v>
      </c>
      <c r="AY37" s="139" t="s">
        <v>595</v>
      </c>
      <c r="AZ37" s="139" t="s">
        <v>541</v>
      </c>
      <c r="BA37" s="139" t="s">
        <v>777</v>
      </c>
      <c r="BB37" s="139" t="s">
        <v>97</v>
      </c>
      <c r="BC37" s="139" t="s">
        <v>97</v>
      </c>
      <c r="BD37" s="139" t="s">
        <v>97</v>
      </c>
      <c r="BE37" s="139" t="s">
        <v>97</v>
      </c>
      <c r="BF37" s="139" t="s">
        <v>97</v>
      </c>
      <c r="BG37" s="139" t="s">
        <v>97</v>
      </c>
      <c r="BH37" s="139" t="s">
        <v>97</v>
      </c>
      <c r="BI37" s="139" t="s">
        <v>97</v>
      </c>
      <c r="BJ37" s="139" t="s">
        <v>543</v>
      </c>
      <c r="BK37" s="139" t="s">
        <v>552</v>
      </c>
      <c r="BL37" s="139" t="s">
        <v>548</v>
      </c>
      <c r="BM37" s="139" t="s">
        <v>867</v>
      </c>
      <c r="BN37" s="139" t="s">
        <v>607</v>
      </c>
      <c r="BO37" s="139" t="s">
        <v>541</v>
      </c>
      <c r="BP37" s="139" t="s">
        <v>97</v>
      </c>
      <c r="BQ37" s="139" t="s">
        <v>566</v>
      </c>
      <c r="BR37" s="139" t="s">
        <v>543</v>
      </c>
      <c r="BS37" s="139" t="s">
        <v>867</v>
      </c>
      <c r="BT37" s="139" t="s">
        <v>568</v>
      </c>
      <c r="BU37" s="139" t="s">
        <v>559</v>
      </c>
      <c r="BV37" s="139" t="s">
        <v>97</v>
      </c>
      <c r="BW37" s="139" t="s">
        <v>573</v>
      </c>
      <c r="BX37" s="139" t="s">
        <v>566</v>
      </c>
      <c r="BY37" s="139" t="s">
        <v>97</v>
      </c>
      <c r="BZ37" s="139" t="s">
        <v>548</v>
      </c>
      <c r="CA37" s="139" t="s">
        <v>607</v>
      </c>
      <c r="CB37" s="139" t="s">
        <v>97</v>
      </c>
      <c r="CC37" s="139" t="s">
        <v>97</v>
      </c>
      <c r="CD37" s="139" t="s">
        <v>568</v>
      </c>
      <c r="CE37" s="139" t="s">
        <v>97</v>
      </c>
      <c r="CF37" s="139" t="s">
        <v>541</v>
      </c>
      <c r="CG37" s="139" t="s">
        <v>607</v>
      </c>
      <c r="CH37" s="139" t="s">
        <v>570</v>
      </c>
      <c r="CI37" s="139" t="s">
        <v>97</v>
      </c>
      <c r="CJ37" s="139" t="s">
        <v>537</v>
      </c>
      <c r="CK37" s="139" t="s">
        <v>594</v>
      </c>
      <c r="CL37" s="139" t="s">
        <v>607</v>
      </c>
      <c r="CM37" s="139" t="s">
        <v>567</v>
      </c>
      <c r="CN37" s="139" t="s">
        <v>548</v>
      </c>
      <c r="CO37" s="139" t="s">
        <v>97</v>
      </c>
      <c r="CP37" s="139" t="s">
        <v>584</v>
      </c>
      <c r="CQ37" s="139" t="s">
        <v>97</v>
      </c>
      <c r="CR37" s="139" t="s">
        <v>543</v>
      </c>
      <c r="CS37" s="139" t="s">
        <v>543</v>
      </c>
      <c r="CT37" s="139" t="s">
        <v>548</v>
      </c>
      <c r="CU37" s="139" t="s">
        <v>97</v>
      </c>
      <c r="CV37" s="139" t="s">
        <v>97</v>
      </c>
      <c r="CW37" s="139" t="s">
        <v>97</v>
      </c>
      <c r="CX37" s="139" t="s">
        <v>538</v>
      </c>
      <c r="CY37" s="139" t="s">
        <v>554</v>
      </c>
      <c r="CZ37" s="139" t="s">
        <v>544</v>
      </c>
      <c r="DA37" s="139" t="s">
        <v>566</v>
      </c>
      <c r="DB37" s="139" t="s">
        <v>543</v>
      </c>
      <c r="DC37" s="139" t="s">
        <v>97</v>
      </c>
      <c r="DD37" s="139" t="s">
        <v>562</v>
      </c>
      <c r="DE37" s="111" t="s">
        <v>541</v>
      </c>
      <c r="DF37" s="111" t="s">
        <v>97</v>
      </c>
      <c r="DG37" s="111" t="s">
        <v>573</v>
      </c>
      <c r="DH37" s="111" t="s">
        <v>97</v>
      </c>
      <c r="DI37" s="111" t="s">
        <v>97</v>
      </c>
      <c r="DJ37" s="111" t="s">
        <v>97</v>
      </c>
      <c r="DK37" s="111" t="s">
        <v>97</v>
      </c>
      <c r="DL37" s="111" t="s">
        <v>97</v>
      </c>
      <c r="DM37" s="111" t="s">
        <v>555</v>
      </c>
      <c r="DN37" s="111" t="s">
        <v>566</v>
      </c>
      <c r="DO37" s="111" t="s">
        <v>97</v>
      </c>
      <c r="DP37" s="112" t="s">
        <v>565</v>
      </c>
      <c r="DW37" s="112" t="s">
        <v>97</v>
      </c>
      <c r="DX37" s="112" t="s">
        <v>395</v>
      </c>
      <c r="DY37" s="112" t="s">
        <v>97</v>
      </c>
      <c r="DZ37" s="112" t="s">
        <v>639</v>
      </c>
    </row>
    <row r="38" spans="1:130" outlineLevel="1">
      <c r="A38" s="653"/>
      <c r="B38" s="57" t="str">
        <f t="shared" si="3"/>
        <v xml:space="preserve"> </v>
      </c>
      <c r="C38" s="57" t="str">
        <f t="shared" si="6"/>
        <v>Esquive</v>
      </c>
      <c r="D38" s="57" t="str">
        <f t="shared" si="4"/>
        <v>Langue (Reikspiel)</v>
      </c>
      <c r="E38" s="84" t="str">
        <f t="shared" si="5"/>
        <v xml:space="preserve"> </v>
      </c>
      <c r="F38" s="644"/>
      <c r="G38" s="64" t="s">
        <v>97</v>
      </c>
      <c r="H38" s="172" t="s">
        <v>566</v>
      </c>
      <c r="I38" s="139" t="s">
        <v>541</v>
      </c>
      <c r="J38" s="139" t="s">
        <v>567</v>
      </c>
      <c r="K38" s="139" t="s">
        <v>97</v>
      </c>
      <c r="L38" s="139" t="s">
        <v>97</v>
      </c>
      <c r="M38" s="139" t="s">
        <v>570</v>
      </c>
      <c r="N38" s="139" t="s">
        <v>97</v>
      </c>
      <c r="O38" s="139" t="s">
        <v>751</v>
      </c>
      <c r="P38" s="139" t="s">
        <v>97</v>
      </c>
      <c r="Q38" s="139" t="s">
        <v>97</v>
      </c>
      <c r="R38" s="139" t="s">
        <v>97</v>
      </c>
      <c r="S38" s="139" t="s">
        <v>585</v>
      </c>
      <c r="T38" s="139" t="s">
        <v>97</v>
      </c>
      <c r="U38" s="139" t="s">
        <v>97</v>
      </c>
      <c r="V38" s="139" t="s">
        <v>570</v>
      </c>
      <c r="W38" s="139" t="s">
        <v>780</v>
      </c>
      <c r="X38" s="139" t="s">
        <v>97</v>
      </c>
      <c r="Y38" s="139" t="s">
        <v>97</v>
      </c>
      <c r="Z38" s="139" t="s">
        <v>97</v>
      </c>
      <c r="AA38" s="139" t="s">
        <v>565</v>
      </c>
      <c r="AB38" s="139" t="s">
        <v>97</v>
      </c>
      <c r="AC38" s="139" t="s">
        <v>97</v>
      </c>
      <c r="AD38" s="139" t="s">
        <v>544</v>
      </c>
      <c r="AE38" s="139" t="s">
        <v>562</v>
      </c>
      <c r="AF38" s="139" t="s">
        <v>562</v>
      </c>
      <c r="AG38" s="139" t="s">
        <v>772</v>
      </c>
      <c r="AH38" s="139" t="s">
        <v>97</v>
      </c>
      <c r="AI38" s="139" t="s">
        <v>573</v>
      </c>
      <c r="AJ38" s="139" t="s">
        <v>538</v>
      </c>
      <c r="AK38" s="139" t="s">
        <v>541</v>
      </c>
      <c r="AL38" s="139" t="s">
        <v>97</v>
      </c>
      <c r="AM38" s="139" t="s">
        <v>561</v>
      </c>
      <c r="AN38" s="139" t="s">
        <v>97</v>
      </c>
      <c r="AO38" s="139" t="s">
        <v>97</v>
      </c>
      <c r="AP38" s="139" t="s">
        <v>552</v>
      </c>
      <c r="AQ38" s="139" t="s">
        <v>548</v>
      </c>
      <c r="AR38" s="139" t="s">
        <v>541</v>
      </c>
      <c r="AS38" s="139" t="s">
        <v>97</v>
      </c>
      <c r="AT38" s="139" t="s">
        <v>97</v>
      </c>
      <c r="AU38" s="139" t="s">
        <v>566</v>
      </c>
      <c r="AV38" s="139" t="s">
        <v>576</v>
      </c>
      <c r="AW38" s="139" t="s">
        <v>567</v>
      </c>
      <c r="AX38" s="139" t="s">
        <v>607</v>
      </c>
      <c r="AY38" s="139" t="s">
        <v>544</v>
      </c>
      <c r="AZ38" s="139" t="s">
        <v>606</v>
      </c>
      <c r="BA38" s="139" t="s">
        <v>541</v>
      </c>
      <c r="BB38" s="139" t="s">
        <v>97</v>
      </c>
      <c r="BC38" s="139" t="s">
        <v>97</v>
      </c>
      <c r="BD38" s="139" t="s">
        <v>97</v>
      </c>
      <c r="BE38" s="139" t="s">
        <v>97</v>
      </c>
      <c r="BF38" s="139" t="s">
        <v>97</v>
      </c>
      <c r="BG38" s="139" t="s">
        <v>97</v>
      </c>
      <c r="BH38" s="139" t="s">
        <v>97</v>
      </c>
      <c r="BI38" s="139" t="s">
        <v>97</v>
      </c>
      <c r="BJ38" s="139" t="s">
        <v>561</v>
      </c>
      <c r="BK38" s="139" t="s">
        <v>556</v>
      </c>
      <c r="BL38" s="139" t="s">
        <v>97</v>
      </c>
      <c r="BM38" s="139" t="s">
        <v>585</v>
      </c>
      <c r="BN38" s="139" t="s">
        <v>541</v>
      </c>
      <c r="BO38" s="139" t="s">
        <v>576</v>
      </c>
      <c r="BP38" s="139" t="s">
        <v>97</v>
      </c>
      <c r="BQ38" s="139" t="s">
        <v>568</v>
      </c>
      <c r="BR38" s="139" t="s">
        <v>775</v>
      </c>
      <c r="BS38" s="139" t="s">
        <v>862</v>
      </c>
      <c r="BT38" s="139" t="s">
        <v>571</v>
      </c>
      <c r="BU38" s="139" t="s">
        <v>548</v>
      </c>
      <c r="BV38" s="139" t="s">
        <v>97</v>
      </c>
      <c r="BW38" s="139" t="s">
        <v>753</v>
      </c>
      <c r="BX38" s="139" t="s">
        <v>394</v>
      </c>
      <c r="BY38" s="139" t="s">
        <v>97</v>
      </c>
      <c r="BZ38" s="139" t="s">
        <v>562</v>
      </c>
      <c r="CA38" s="139" t="s">
        <v>538</v>
      </c>
      <c r="CB38" s="139" t="s">
        <v>97</v>
      </c>
      <c r="CC38" s="139" t="s">
        <v>97</v>
      </c>
      <c r="CD38" s="139" t="s">
        <v>570</v>
      </c>
      <c r="CE38" s="139" t="s">
        <v>97</v>
      </c>
      <c r="CF38" s="139" t="s">
        <v>835</v>
      </c>
      <c r="CG38" s="139" t="s">
        <v>541</v>
      </c>
      <c r="CH38" s="139" t="s">
        <v>571</v>
      </c>
      <c r="CI38" s="139" t="s">
        <v>97</v>
      </c>
      <c r="CJ38" s="139" t="s">
        <v>97</v>
      </c>
      <c r="CK38" s="139" t="s">
        <v>545</v>
      </c>
      <c r="CL38" s="139" t="s">
        <v>576</v>
      </c>
      <c r="CM38" s="139" t="s">
        <v>394</v>
      </c>
      <c r="CN38" s="139" t="s">
        <v>589</v>
      </c>
      <c r="CO38" s="139" t="s">
        <v>97</v>
      </c>
      <c r="CP38" s="139" t="s">
        <v>554</v>
      </c>
      <c r="CQ38" s="139" t="s">
        <v>97</v>
      </c>
      <c r="CR38" s="139" t="s">
        <v>561</v>
      </c>
      <c r="CS38" s="139" t="s">
        <v>561</v>
      </c>
      <c r="CT38" s="139" t="s">
        <v>565</v>
      </c>
      <c r="CU38" s="139" t="s">
        <v>97</v>
      </c>
      <c r="CV38" s="139" t="s">
        <v>97</v>
      </c>
      <c r="CW38" s="139" t="s">
        <v>97</v>
      </c>
      <c r="CX38" s="139" t="s">
        <v>97</v>
      </c>
      <c r="CY38" s="139" t="s">
        <v>778</v>
      </c>
      <c r="CZ38" s="139" t="s">
        <v>589</v>
      </c>
      <c r="DA38" s="139" t="s">
        <v>567</v>
      </c>
      <c r="DB38" s="139" t="s">
        <v>775</v>
      </c>
      <c r="DC38" s="139" t="s">
        <v>97</v>
      </c>
      <c r="DD38" s="139" t="s">
        <v>585</v>
      </c>
      <c r="DE38" s="111" t="s">
        <v>600</v>
      </c>
      <c r="DF38" s="111" t="s">
        <v>97</v>
      </c>
      <c r="DG38" s="111" t="s">
        <v>531</v>
      </c>
      <c r="DH38" s="111" t="s">
        <v>97</v>
      </c>
      <c r="DI38" s="111" t="s">
        <v>97</v>
      </c>
      <c r="DJ38" s="111" t="s">
        <v>97</v>
      </c>
      <c r="DK38" s="111" t="s">
        <v>97</v>
      </c>
      <c r="DL38" s="111" t="s">
        <v>97</v>
      </c>
      <c r="DM38" s="111" t="s">
        <v>556</v>
      </c>
      <c r="DN38" s="111" t="s">
        <v>607</v>
      </c>
      <c r="DO38" s="111" t="s">
        <v>97</v>
      </c>
      <c r="DP38" s="112" t="s">
        <v>541</v>
      </c>
      <c r="DW38" s="112" t="s">
        <v>97</v>
      </c>
      <c r="DX38" s="112" t="s">
        <v>607</v>
      </c>
      <c r="DY38" s="112" t="s">
        <v>97</v>
      </c>
      <c r="DZ38" s="112" t="s">
        <v>97</v>
      </c>
    </row>
    <row r="39" spans="1:130" outlineLevel="1">
      <c r="A39" s="653"/>
      <c r="B39" s="57" t="str">
        <f t="shared" si="3"/>
        <v xml:space="preserve"> </v>
      </c>
      <c r="C39" s="57" t="str">
        <f t="shared" si="6"/>
        <v>Langue (Bretonnien)</v>
      </c>
      <c r="D39" s="57" t="str">
        <f t="shared" si="4"/>
        <v>Lire/Ecrire</v>
      </c>
      <c r="E39" s="84" t="str">
        <f t="shared" si="5"/>
        <v xml:space="preserve"> </v>
      </c>
      <c r="F39" s="644"/>
      <c r="G39" s="64" t="s">
        <v>97</v>
      </c>
      <c r="H39" s="172" t="s">
        <v>607</v>
      </c>
      <c r="I39" s="139" t="s">
        <v>531</v>
      </c>
      <c r="J39" s="139" t="s">
        <v>607</v>
      </c>
      <c r="K39" s="139" t="s">
        <v>97</v>
      </c>
      <c r="L39" s="139" t="s">
        <v>97</v>
      </c>
      <c r="M39" s="139" t="s">
        <v>607</v>
      </c>
      <c r="N39" s="139" t="s">
        <v>97</v>
      </c>
      <c r="O39" s="139" t="s">
        <v>97</v>
      </c>
      <c r="P39" s="139" t="s">
        <v>97</v>
      </c>
      <c r="Q39" s="139" t="s">
        <v>97</v>
      </c>
      <c r="R39" s="139" t="s">
        <v>97</v>
      </c>
      <c r="S39" s="139" t="s">
        <v>541</v>
      </c>
      <c r="T39" s="139" t="s">
        <v>97</v>
      </c>
      <c r="U39" s="139" t="s">
        <v>97</v>
      </c>
      <c r="V39" s="139" t="s">
        <v>585</v>
      </c>
      <c r="W39" s="139" t="s">
        <v>835</v>
      </c>
      <c r="X39" s="139" t="s">
        <v>97</v>
      </c>
      <c r="Y39" s="139" t="s">
        <v>97</v>
      </c>
      <c r="Z39" s="139" t="s">
        <v>97</v>
      </c>
      <c r="AA39" s="139" t="s">
        <v>566</v>
      </c>
      <c r="AB39" s="139" t="s">
        <v>97</v>
      </c>
      <c r="AC39" s="139" t="s">
        <v>97</v>
      </c>
      <c r="AD39" s="139" t="s">
        <v>567</v>
      </c>
      <c r="AE39" s="139" t="s">
        <v>565</v>
      </c>
      <c r="AF39" s="139" t="s">
        <v>779</v>
      </c>
      <c r="AG39" s="139" t="s">
        <v>896</v>
      </c>
      <c r="AH39" s="139" t="s">
        <v>97</v>
      </c>
      <c r="AI39" s="139" t="s">
        <v>606</v>
      </c>
      <c r="AJ39" s="139" t="s">
        <v>606</v>
      </c>
      <c r="AK39" s="139" t="s">
        <v>97</v>
      </c>
      <c r="AL39" s="139" t="s">
        <v>97</v>
      </c>
      <c r="AM39" s="139" t="s">
        <v>779</v>
      </c>
      <c r="AN39" s="139" t="s">
        <v>97</v>
      </c>
      <c r="AO39" s="139" t="s">
        <v>97</v>
      </c>
      <c r="AP39" s="139" t="s">
        <v>559</v>
      </c>
      <c r="AQ39" s="139" t="s">
        <v>607</v>
      </c>
      <c r="AR39" s="139" t="s">
        <v>97</v>
      </c>
      <c r="AS39" s="139" t="s">
        <v>97</v>
      </c>
      <c r="AT39" s="139" t="s">
        <v>97</v>
      </c>
      <c r="AU39" s="139" t="s">
        <v>607</v>
      </c>
      <c r="AV39" s="139" t="s">
        <v>97</v>
      </c>
      <c r="AW39" s="139" t="s">
        <v>541</v>
      </c>
      <c r="AX39" s="139" t="s">
        <v>97</v>
      </c>
      <c r="AY39" s="139" t="s">
        <v>754</v>
      </c>
      <c r="AZ39" s="139" t="s">
        <v>97</v>
      </c>
      <c r="BA39" s="139" t="s">
        <v>835</v>
      </c>
      <c r="BB39" s="139" t="s">
        <v>97</v>
      </c>
      <c r="BC39" s="139" t="s">
        <v>97</v>
      </c>
      <c r="BD39" s="139" t="s">
        <v>97</v>
      </c>
      <c r="BE39" s="139" t="s">
        <v>97</v>
      </c>
      <c r="BF39" s="139" t="s">
        <v>97</v>
      </c>
      <c r="BG39" s="139" t="s">
        <v>97</v>
      </c>
      <c r="BH39" s="139" t="s">
        <v>97</v>
      </c>
      <c r="BI39" s="139" t="s">
        <v>97</v>
      </c>
      <c r="BJ39" s="139" t="s">
        <v>780</v>
      </c>
      <c r="BK39" s="139" t="s">
        <v>559</v>
      </c>
      <c r="BL39" s="139" t="s">
        <v>97</v>
      </c>
      <c r="BM39" s="139" t="s">
        <v>541</v>
      </c>
      <c r="BN39" s="139" t="s">
        <v>606</v>
      </c>
      <c r="BO39" s="139" t="s">
        <v>97</v>
      </c>
      <c r="BP39" s="139" t="s">
        <v>97</v>
      </c>
      <c r="BQ39" s="139" t="s">
        <v>571</v>
      </c>
      <c r="BR39" s="139" t="s">
        <v>776</v>
      </c>
      <c r="BS39" s="139" t="s">
        <v>97</v>
      </c>
      <c r="BT39" s="139" t="s">
        <v>570</v>
      </c>
      <c r="BU39" s="139" t="s">
        <v>566</v>
      </c>
      <c r="BV39" s="139" t="s">
        <v>97</v>
      </c>
      <c r="BW39" s="139" t="s">
        <v>606</v>
      </c>
      <c r="BX39" s="139" t="s">
        <v>585</v>
      </c>
      <c r="BY39" s="139" t="s">
        <v>97</v>
      </c>
      <c r="BZ39" s="139" t="s">
        <v>585</v>
      </c>
      <c r="CA39" s="139" t="s">
        <v>97</v>
      </c>
      <c r="CB39" s="139" t="s">
        <v>97</v>
      </c>
      <c r="CC39" s="139" t="s">
        <v>97</v>
      </c>
      <c r="CD39" s="139" t="s">
        <v>585</v>
      </c>
      <c r="CE39" s="139" t="s">
        <v>97</v>
      </c>
      <c r="CF39" s="139" t="s">
        <v>538</v>
      </c>
      <c r="CG39" s="139" t="s">
        <v>97</v>
      </c>
      <c r="CH39" s="139" t="s">
        <v>833</v>
      </c>
      <c r="CI39" s="139" t="s">
        <v>97</v>
      </c>
      <c r="CJ39" s="139" t="s">
        <v>97</v>
      </c>
      <c r="CK39" s="139" t="s">
        <v>600</v>
      </c>
      <c r="CL39" s="139" t="s">
        <v>539</v>
      </c>
      <c r="CM39" s="139" t="s">
        <v>867</v>
      </c>
      <c r="CN39" s="139" t="s">
        <v>779</v>
      </c>
      <c r="CO39" s="139" t="s">
        <v>97</v>
      </c>
      <c r="CP39" s="139" t="s">
        <v>595</v>
      </c>
      <c r="CQ39" s="139" t="s">
        <v>97</v>
      </c>
      <c r="CR39" s="139" t="s">
        <v>779</v>
      </c>
      <c r="CS39" s="139" t="s">
        <v>779</v>
      </c>
      <c r="CT39" s="139" t="s">
        <v>754</v>
      </c>
      <c r="CU39" s="139" t="s">
        <v>97</v>
      </c>
      <c r="CV39" s="139" t="s">
        <v>97</v>
      </c>
      <c r="CW39" s="139" t="s">
        <v>97</v>
      </c>
      <c r="CX39" s="139" t="s">
        <v>97</v>
      </c>
      <c r="CY39" s="139" t="s">
        <v>97</v>
      </c>
      <c r="CZ39" s="139" t="s">
        <v>754</v>
      </c>
      <c r="DA39" s="139" t="s">
        <v>607</v>
      </c>
      <c r="DB39" s="139" t="s">
        <v>776</v>
      </c>
      <c r="DC39" s="139" t="s">
        <v>97</v>
      </c>
      <c r="DD39" s="139" t="s">
        <v>97</v>
      </c>
      <c r="DE39" s="111" t="s">
        <v>97</v>
      </c>
      <c r="DF39" s="111" t="s">
        <v>97</v>
      </c>
      <c r="DG39" s="111" t="s">
        <v>606</v>
      </c>
      <c r="DH39" s="111" t="s">
        <v>97</v>
      </c>
      <c r="DI39" s="111" t="s">
        <v>97</v>
      </c>
      <c r="DJ39" s="111" t="s">
        <v>97</v>
      </c>
      <c r="DK39" s="111" t="s">
        <v>97</v>
      </c>
      <c r="DL39" s="111" t="s">
        <v>97</v>
      </c>
      <c r="DM39" s="111" t="s">
        <v>559</v>
      </c>
      <c r="DN39" s="111" t="s">
        <v>541</v>
      </c>
      <c r="DO39" s="111" t="s">
        <v>97</v>
      </c>
      <c r="DP39" s="112" t="s">
        <v>97</v>
      </c>
      <c r="DW39" s="112" t="s">
        <v>97</v>
      </c>
      <c r="DX39" s="112" t="s">
        <v>636</v>
      </c>
      <c r="DY39" s="112" t="s">
        <v>97</v>
      </c>
      <c r="DZ39" s="112" t="s">
        <v>97</v>
      </c>
    </row>
    <row r="40" spans="1:130" outlineLevel="1">
      <c r="A40" s="653"/>
      <c r="B40" s="57" t="str">
        <f t="shared" si="3"/>
        <v xml:space="preserve"> </v>
      </c>
      <c r="C40" s="57" t="str">
        <f t="shared" si="6"/>
        <v>Langue (Norsce)</v>
      </c>
      <c r="D40" s="57" t="str">
        <f t="shared" si="4"/>
        <v xml:space="preserve"> </v>
      </c>
      <c r="E40" s="84" t="str">
        <f t="shared" si="5"/>
        <v xml:space="preserve"> </v>
      </c>
      <c r="F40" s="644"/>
      <c r="G40" s="64" t="s">
        <v>97</v>
      </c>
      <c r="H40" s="172" t="s">
        <v>541</v>
      </c>
      <c r="I40" s="139" t="s">
        <v>97</v>
      </c>
      <c r="J40" s="139" t="s">
        <v>541</v>
      </c>
      <c r="K40" s="139" t="s">
        <v>97</v>
      </c>
      <c r="L40" s="139" t="s">
        <v>97</v>
      </c>
      <c r="M40" s="139" t="s">
        <v>585</v>
      </c>
      <c r="N40" s="139" t="s">
        <v>97</v>
      </c>
      <c r="O40" s="139" t="s">
        <v>97</v>
      </c>
      <c r="P40" s="139" t="s">
        <v>97</v>
      </c>
      <c r="Q40" s="139" t="s">
        <v>97</v>
      </c>
      <c r="R40" s="139" t="s">
        <v>97</v>
      </c>
      <c r="S40" s="139" t="s">
        <v>97</v>
      </c>
      <c r="T40" s="139" t="s">
        <v>97</v>
      </c>
      <c r="U40" s="139" t="s">
        <v>97</v>
      </c>
      <c r="V40" s="139" t="s">
        <v>541</v>
      </c>
      <c r="W40" s="139" t="s">
        <v>833</v>
      </c>
      <c r="X40" s="139" t="s">
        <v>97</v>
      </c>
      <c r="Y40" s="139" t="s">
        <v>97</v>
      </c>
      <c r="Z40" s="139" t="s">
        <v>97</v>
      </c>
      <c r="AA40" s="139" t="s">
        <v>585</v>
      </c>
      <c r="AB40" s="139" t="s">
        <v>97</v>
      </c>
      <c r="AC40" s="139" t="s">
        <v>97</v>
      </c>
      <c r="AD40" s="139" t="s">
        <v>537</v>
      </c>
      <c r="AE40" s="139" t="s">
        <v>537</v>
      </c>
      <c r="AF40" s="139" t="s">
        <v>97</v>
      </c>
      <c r="AG40" s="139" t="s">
        <v>549</v>
      </c>
      <c r="AH40" s="139" t="s">
        <v>97</v>
      </c>
      <c r="AI40" s="139" t="s">
        <v>97</v>
      </c>
      <c r="AJ40" s="139" t="s">
        <v>97</v>
      </c>
      <c r="AK40" s="139" t="s">
        <v>97</v>
      </c>
      <c r="AL40" s="139" t="s">
        <v>97</v>
      </c>
      <c r="AM40" s="139" t="s">
        <v>541</v>
      </c>
      <c r="AN40" s="139" t="s">
        <v>97</v>
      </c>
      <c r="AO40" s="139" t="s">
        <v>97</v>
      </c>
      <c r="AP40" s="139" t="s">
        <v>566</v>
      </c>
      <c r="AQ40" s="139" t="s">
        <v>97</v>
      </c>
      <c r="AR40" s="139" t="s">
        <v>97</v>
      </c>
      <c r="AS40" s="139" t="s">
        <v>97</v>
      </c>
      <c r="AT40" s="139" t="s">
        <v>97</v>
      </c>
      <c r="AU40" s="139" t="s">
        <v>97</v>
      </c>
      <c r="AV40" s="139" t="s">
        <v>97</v>
      </c>
      <c r="AW40" s="139" t="s">
        <v>97</v>
      </c>
      <c r="AX40" s="139" t="s">
        <v>97</v>
      </c>
      <c r="AY40" s="139" t="s">
        <v>892</v>
      </c>
      <c r="AZ40" s="139" t="s">
        <v>97</v>
      </c>
      <c r="BA40" s="139" t="s">
        <v>538</v>
      </c>
      <c r="BB40" s="139" t="s">
        <v>97</v>
      </c>
      <c r="BC40" s="139" t="s">
        <v>97</v>
      </c>
      <c r="BD40" s="139" t="s">
        <v>97</v>
      </c>
      <c r="BE40" s="139" t="s">
        <v>97</v>
      </c>
      <c r="BF40" s="139" t="s">
        <v>97</v>
      </c>
      <c r="BG40" s="139" t="s">
        <v>97</v>
      </c>
      <c r="BH40" s="139" t="s">
        <v>97</v>
      </c>
      <c r="BI40" s="139" t="s">
        <v>97</v>
      </c>
      <c r="BJ40" s="139" t="s">
        <v>531</v>
      </c>
      <c r="BK40" s="139" t="s">
        <v>554</v>
      </c>
      <c r="BL40" s="139" t="s">
        <v>97</v>
      </c>
      <c r="BM40" s="139" t="s">
        <v>868</v>
      </c>
      <c r="BN40" s="139" t="s">
        <v>97</v>
      </c>
      <c r="BO40" s="139" t="s">
        <v>97</v>
      </c>
      <c r="BP40" s="139" t="s">
        <v>97</v>
      </c>
      <c r="BQ40" s="139" t="s">
        <v>570</v>
      </c>
      <c r="BR40" s="139" t="s">
        <v>561</v>
      </c>
      <c r="BS40" s="139" t="s">
        <v>97</v>
      </c>
      <c r="BT40" s="139" t="s">
        <v>607</v>
      </c>
      <c r="BU40" s="139" t="s">
        <v>571</v>
      </c>
      <c r="BV40" s="139" t="s">
        <v>97</v>
      </c>
      <c r="BW40" s="139" t="s">
        <v>97</v>
      </c>
      <c r="BX40" s="139" t="s">
        <v>541</v>
      </c>
      <c r="BY40" s="139" t="s">
        <v>97</v>
      </c>
      <c r="BZ40" s="139" t="s">
        <v>97</v>
      </c>
      <c r="CA40" s="139" t="s">
        <v>97</v>
      </c>
      <c r="CB40" s="139" t="s">
        <v>97</v>
      </c>
      <c r="CC40" s="139" t="s">
        <v>97</v>
      </c>
      <c r="CD40" s="139" t="s">
        <v>567</v>
      </c>
      <c r="CE40" s="139" t="s">
        <v>97</v>
      </c>
      <c r="CF40" s="139" t="s">
        <v>97</v>
      </c>
      <c r="CG40" s="139" t="s">
        <v>97</v>
      </c>
      <c r="CH40" s="139" t="s">
        <v>539</v>
      </c>
      <c r="CI40" s="139" t="s">
        <v>97</v>
      </c>
      <c r="CJ40" s="139" t="s">
        <v>97</v>
      </c>
      <c r="CK40" s="139" t="s">
        <v>602</v>
      </c>
      <c r="CL40" s="139" t="s">
        <v>538</v>
      </c>
      <c r="CM40" s="139" t="s">
        <v>541</v>
      </c>
      <c r="CN40" s="139" t="s">
        <v>538</v>
      </c>
      <c r="CO40" s="139" t="s">
        <v>97</v>
      </c>
      <c r="CP40" s="139" t="s">
        <v>607</v>
      </c>
      <c r="CQ40" s="139" t="s">
        <v>97</v>
      </c>
      <c r="CR40" s="139" t="s">
        <v>541</v>
      </c>
      <c r="CS40" s="139" t="s">
        <v>531</v>
      </c>
      <c r="CT40" s="139" t="s">
        <v>541</v>
      </c>
      <c r="CU40" s="139" t="s">
        <v>97</v>
      </c>
      <c r="CV40" s="139" t="s">
        <v>97</v>
      </c>
      <c r="CW40" s="139" t="s">
        <v>97</v>
      </c>
      <c r="CX40" s="139" t="s">
        <v>97</v>
      </c>
      <c r="CY40" s="139" t="s">
        <v>97</v>
      </c>
      <c r="CZ40" s="139" t="s">
        <v>538</v>
      </c>
      <c r="DA40" s="139" t="s">
        <v>585</v>
      </c>
      <c r="DB40" s="139" t="s">
        <v>561</v>
      </c>
      <c r="DC40" s="139" t="s">
        <v>97</v>
      </c>
      <c r="DD40" s="139" t="s">
        <v>97</v>
      </c>
      <c r="DE40" s="111" t="s">
        <v>97</v>
      </c>
      <c r="DF40" s="111" t="s">
        <v>97</v>
      </c>
      <c r="DG40" s="111" t="s">
        <v>97</v>
      </c>
      <c r="DH40" s="111" t="s">
        <v>97</v>
      </c>
      <c r="DI40" s="111" t="s">
        <v>97</v>
      </c>
      <c r="DJ40" s="111" t="s">
        <v>97</v>
      </c>
      <c r="DK40" s="111" t="s">
        <v>97</v>
      </c>
      <c r="DL40" s="111" t="s">
        <v>97</v>
      </c>
      <c r="DM40" s="111" t="s">
        <v>467</v>
      </c>
      <c r="DN40" s="111" t="s">
        <v>97</v>
      </c>
      <c r="DO40" s="111" t="s">
        <v>97</v>
      </c>
      <c r="DP40" s="112" t="s">
        <v>97</v>
      </c>
      <c r="DW40" s="112" t="s">
        <v>97</v>
      </c>
      <c r="DX40" s="112" t="s">
        <v>97</v>
      </c>
      <c r="DY40" s="112" t="s">
        <v>97</v>
      </c>
      <c r="DZ40" s="112" t="s">
        <v>97</v>
      </c>
    </row>
    <row r="41" spans="1:130" outlineLevel="1">
      <c r="A41" s="653"/>
      <c r="B41" s="57" t="str">
        <f t="shared" si="3"/>
        <v xml:space="preserve"> </v>
      </c>
      <c r="C41" s="57" t="str">
        <f t="shared" si="6"/>
        <v>Langue (Tilée)</v>
      </c>
      <c r="D41" s="57" t="str">
        <f t="shared" si="4"/>
        <v xml:space="preserve"> </v>
      </c>
      <c r="E41" s="84" t="str">
        <f t="shared" si="5"/>
        <v xml:space="preserve"> </v>
      </c>
      <c r="F41" s="644"/>
      <c r="G41" s="64" t="s">
        <v>97</v>
      </c>
      <c r="H41" s="172" t="s">
        <v>97</v>
      </c>
      <c r="I41" s="139" t="s">
        <v>97</v>
      </c>
      <c r="J41" s="139" t="s">
        <v>97</v>
      </c>
      <c r="K41" s="139" t="s">
        <v>97</v>
      </c>
      <c r="L41" s="139" t="s">
        <v>97</v>
      </c>
      <c r="M41" s="139" t="s">
        <v>754</v>
      </c>
      <c r="N41" s="139" t="s">
        <v>97</v>
      </c>
      <c r="O41" s="139" t="s">
        <v>97</v>
      </c>
      <c r="P41" s="139" t="s">
        <v>97</v>
      </c>
      <c r="Q41" s="139" t="s">
        <v>97</v>
      </c>
      <c r="R41" s="139" t="s">
        <v>97</v>
      </c>
      <c r="S41" s="139" t="s">
        <v>97</v>
      </c>
      <c r="T41" s="139" t="s">
        <v>97</v>
      </c>
      <c r="U41" s="139" t="s">
        <v>97</v>
      </c>
      <c r="V41" s="139" t="s">
        <v>97</v>
      </c>
      <c r="W41" s="139" t="s">
        <v>539</v>
      </c>
      <c r="X41" s="139" t="s">
        <v>97</v>
      </c>
      <c r="Y41" s="139" t="s">
        <v>97</v>
      </c>
      <c r="Z41" s="139" t="s">
        <v>97</v>
      </c>
      <c r="AA41" s="139" t="s">
        <v>607</v>
      </c>
      <c r="AB41" s="139" t="s">
        <v>97</v>
      </c>
      <c r="AC41" s="139" t="s">
        <v>97</v>
      </c>
      <c r="AD41" s="139" t="s">
        <v>97</v>
      </c>
      <c r="AE41" s="139" t="s">
        <v>97</v>
      </c>
      <c r="AF41" s="139" t="s">
        <v>97</v>
      </c>
      <c r="AG41" s="139" t="s">
        <v>548</v>
      </c>
      <c r="AH41" s="139" t="s">
        <v>97</v>
      </c>
      <c r="AI41" s="139" t="s">
        <v>97</v>
      </c>
      <c r="AJ41" s="139" t="s">
        <v>97</v>
      </c>
      <c r="AK41" s="139" t="s">
        <v>97</v>
      </c>
      <c r="AL41" s="139" t="s">
        <v>97</v>
      </c>
      <c r="AM41" s="139" t="s">
        <v>531</v>
      </c>
      <c r="AN41" s="139" t="s">
        <v>97</v>
      </c>
      <c r="AO41" s="139" t="s">
        <v>97</v>
      </c>
      <c r="AP41" s="139" t="s">
        <v>585</v>
      </c>
      <c r="AQ41" s="139" t="s">
        <v>97</v>
      </c>
      <c r="AR41" s="163" t="s">
        <v>97</v>
      </c>
      <c r="AS41" s="139" t="s">
        <v>97</v>
      </c>
      <c r="AT41" s="139" t="s">
        <v>97</v>
      </c>
      <c r="AU41" s="139" t="s">
        <v>97</v>
      </c>
      <c r="AV41" s="139" t="s">
        <v>97</v>
      </c>
      <c r="AW41" s="139" t="s">
        <v>97</v>
      </c>
      <c r="AX41" s="139" t="s">
        <v>97</v>
      </c>
      <c r="AY41" s="139" t="s">
        <v>97</v>
      </c>
      <c r="AZ41" s="139" t="s">
        <v>97</v>
      </c>
      <c r="BA41" s="139" t="s">
        <v>537</v>
      </c>
      <c r="BB41" s="139" t="s">
        <v>97</v>
      </c>
      <c r="BC41" s="139" t="s">
        <v>97</v>
      </c>
      <c r="BD41" s="139" t="s">
        <v>97</v>
      </c>
      <c r="BE41" s="139" t="s">
        <v>97</v>
      </c>
      <c r="BF41" s="139" t="s">
        <v>97</v>
      </c>
      <c r="BG41" s="139" t="s">
        <v>97</v>
      </c>
      <c r="BH41" s="139" t="s">
        <v>97</v>
      </c>
      <c r="BI41" s="139" t="s">
        <v>97</v>
      </c>
      <c r="BJ41" s="139" t="s">
        <v>606</v>
      </c>
      <c r="BK41" s="139" t="s">
        <v>566</v>
      </c>
      <c r="BL41" s="139" t="s">
        <v>97</v>
      </c>
      <c r="BM41" s="139" t="s">
        <v>97</v>
      </c>
      <c r="BN41" s="139" t="s">
        <v>97</v>
      </c>
      <c r="BO41" s="139" t="s">
        <v>97</v>
      </c>
      <c r="BP41" s="139" t="s">
        <v>97</v>
      </c>
      <c r="BQ41" s="139" t="s">
        <v>607</v>
      </c>
      <c r="BR41" s="139" t="s">
        <v>780</v>
      </c>
      <c r="BS41" s="139" t="s">
        <v>97</v>
      </c>
      <c r="BT41" s="139" t="s">
        <v>541</v>
      </c>
      <c r="BU41" s="139" t="s">
        <v>585</v>
      </c>
      <c r="BV41" s="139" t="s">
        <v>97</v>
      </c>
      <c r="BW41" s="139" t="s">
        <v>97</v>
      </c>
      <c r="BX41" s="139" t="s">
        <v>97</v>
      </c>
      <c r="BY41" s="139" t="s">
        <v>97</v>
      </c>
      <c r="BZ41" s="139" t="s">
        <v>97</v>
      </c>
      <c r="CA41" s="139" t="s">
        <v>97</v>
      </c>
      <c r="CB41" s="139" t="s">
        <v>97</v>
      </c>
      <c r="CC41" s="139" t="s">
        <v>97</v>
      </c>
      <c r="CD41" s="139" t="s">
        <v>607</v>
      </c>
      <c r="CE41" s="139" t="s">
        <v>97</v>
      </c>
      <c r="CF41" s="139" t="s">
        <v>97</v>
      </c>
      <c r="CG41" s="139" t="s">
        <v>97</v>
      </c>
      <c r="CH41" s="139" t="s">
        <v>97</v>
      </c>
      <c r="CI41" s="139" t="s">
        <v>97</v>
      </c>
      <c r="CJ41" s="139" t="s">
        <v>97</v>
      </c>
      <c r="CK41" s="139" t="s">
        <v>593</v>
      </c>
      <c r="CL41" s="139" t="s">
        <v>97</v>
      </c>
      <c r="CM41" s="139" t="s">
        <v>97</v>
      </c>
      <c r="CN41" s="139" t="s">
        <v>537</v>
      </c>
      <c r="CO41" s="139" t="s">
        <v>97</v>
      </c>
      <c r="CP41" s="139" t="s">
        <v>541</v>
      </c>
      <c r="CQ41" s="139" t="s">
        <v>97</v>
      </c>
      <c r="CR41" s="139" t="s">
        <v>531</v>
      </c>
      <c r="CS41" s="139" t="s">
        <v>606</v>
      </c>
      <c r="CT41" s="139" t="s">
        <v>97</v>
      </c>
      <c r="CU41" s="139" t="s">
        <v>97</v>
      </c>
      <c r="CV41" s="139" t="s">
        <v>97</v>
      </c>
      <c r="CW41" s="139" t="s">
        <v>97</v>
      </c>
      <c r="CX41" s="139" t="s">
        <v>97</v>
      </c>
      <c r="CY41" s="139" t="s">
        <v>97</v>
      </c>
      <c r="CZ41" s="139" t="s">
        <v>537</v>
      </c>
      <c r="DA41" s="139" t="s">
        <v>541</v>
      </c>
      <c r="DB41" s="139" t="s">
        <v>781</v>
      </c>
      <c r="DC41" s="139" t="s">
        <v>97</v>
      </c>
      <c r="DD41" s="139" t="s">
        <v>97</v>
      </c>
      <c r="DE41" s="111" t="s">
        <v>97</v>
      </c>
      <c r="DF41" s="111" t="s">
        <v>97</v>
      </c>
      <c r="DG41" s="111" t="s">
        <v>97</v>
      </c>
      <c r="DH41" s="111" t="s">
        <v>97</v>
      </c>
      <c r="DI41" s="111" t="s">
        <v>97</v>
      </c>
      <c r="DJ41" s="111" t="s">
        <v>97</v>
      </c>
      <c r="DK41" s="111" t="s">
        <v>97</v>
      </c>
      <c r="DL41" s="111" t="s">
        <v>97</v>
      </c>
      <c r="DM41" s="111" t="s">
        <v>597</v>
      </c>
      <c r="DN41" s="111" t="s">
        <v>97</v>
      </c>
      <c r="DO41" s="111" t="s">
        <v>97</v>
      </c>
      <c r="DP41" s="112" t="s">
        <v>97</v>
      </c>
      <c r="DW41" s="112" t="s">
        <v>97</v>
      </c>
      <c r="DX41" s="112" t="s">
        <v>97</v>
      </c>
      <c r="DY41" s="112" t="s">
        <v>97</v>
      </c>
      <c r="DZ41" s="112" t="s">
        <v>97</v>
      </c>
    </row>
    <row r="42" spans="1:130" outlineLevel="1">
      <c r="A42" s="653"/>
      <c r="B42" s="57" t="str">
        <f t="shared" si="3"/>
        <v xml:space="preserve"> </v>
      </c>
      <c r="C42" s="57" t="str">
        <f t="shared" si="6"/>
        <v>Navigation</v>
      </c>
      <c r="D42" s="57" t="str">
        <f t="shared" si="4"/>
        <v xml:space="preserve"> </v>
      </c>
      <c r="E42" s="84" t="str">
        <f t="shared" si="5"/>
        <v xml:space="preserve"> </v>
      </c>
      <c r="F42" s="644"/>
      <c r="G42" s="64" t="s">
        <v>97</v>
      </c>
      <c r="H42" s="172" t="s">
        <v>97</v>
      </c>
      <c r="I42" s="139" t="s">
        <v>97</v>
      </c>
      <c r="J42" s="139" t="s">
        <v>97</v>
      </c>
      <c r="K42" s="139" t="s">
        <v>97</v>
      </c>
      <c r="L42" s="139" t="s">
        <v>97</v>
      </c>
      <c r="M42" s="139" t="s">
        <v>541</v>
      </c>
      <c r="N42" s="139" t="s">
        <v>97</v>
      </c>
      <c r="O42" s="139" t="s">
        <v>97</v>
      </c>
      <c r="P42" s="139" t="s">
        <v>97</v>
      </c>
      <c r="Q42" s="139" t="s">
        <v>97</v>
      </c>
      <c r="R42" s="139" t="s">
        <v>97</v>
      </c>
      <c r="S42" s="139" t="s">
        <v>97</v>
      </c>
      <c r="T42" s="139" t="s">
        <v>97</v>
      </c>
      <c r="U42" s="139" t="s">
        <v>97</v>
      </c>
      <c r="V42" s="139" t="s">
        <v>97</v>
      </c>
      <c r="W42" s="139" t="s">
        <v>97</v>
      </c>
      <c r="X42" s="139" t="s">
        <v>97</v>
      </c>
      <c r="Y42" s="139" t="s">
        <v>97</v>
      </c>
      <c r="Z42" s="139" t="s">
        <v>97</v>
      </c>
      <c r="AA42" s="139" t="s">
        <v>97</v>
      </c>
      <c r="AB42" s="139" t="s">
        <v>97</v>
      </c>
      <c r="AC42" s="139" t="s">
        <v>97</v>
      </c>
      <c r="AD42" s="139" t="s">
        <v>97</v>
      </c>
      <c r="AE42" s="139" t="s">
        <v>97</v>
      </c>
      <c r="AF42" s="139" t="s">
        <v>97</v>
      </c>
      <c r="AG42" s="139" t="s">
        <v>562</v>
      </c>
      <c r="AH42" s="139" t="s">
        <v>97</v>
      </c>
      <c r="AI42" s="139" t="s">
        <v>97</v>
      </c>
      <c r="AJ42" s="139" t="s">
        <v>97</v>
      </c>
      <c r="AK42" s="139" t="s">
        <v>97</v>
      </c>
      <c r="AL42" s="139" t="s">
        <v>97</v>
      </c>
      <c r="AM42" s="139" t="s">
        <v>97</v>
      </c>
      <c r="AN42" s="139" t="s">
        <v>97</v>
      </c>
      <c r="AO42" s="139" t="s">
        <v>97</v>
      </c>
      <c r="AP42" s="139" t="s">
        <v>607</v>
      </c>
      <c r="AQ42" s="139" t="s">
        <v>97</v>
      </c>
      <c r="AR42" s="139" t="s">
        <v>97</v>
      </c>
      <c r="AS42" s="139" t="s">
        <v>97</v>
      </c>
      <c r="AT42" s="139" t="s">
        <v>97</v>
      </c>
      <c r="AU42" s="139" t="s">
        <v>97</v>
      </c>
      <c r="AV42" s="139" t="s">
        <v>97</v>
      </c>
      <c r="AW42" s="139" t="s">
        <v>97</v>
      </c>
      <c r="AX42" s="139" t="s">
        <v>97</v>
      </c>
      <c r="AY42" s="139" t="s">
        <v>97</v>
      </c>
      <c r="AZ42" s="139" t="s">
        <v>97</v>
      </c>
      <c r="BA42" s="139" t="s">
        <v>97</v>
      </c>
      <c r="BB42" s="139" t="s">
        <v>97</v>
      </c>
      <c r="BC42" s="139" t="s">
        <v>97</v>
      </c>
      <c r="BD42" s="139" t="s">
        <v>97</v>
      </c>
      <c r="BE42" s="139" t="s">
        <v>97</v>
      </c>
      <c r="BF42" s="139" t="s">
        <v>97</v>
      </c>
      <c r="BG42" s="139" t="s">
        <v>97</v>
      </c>
      <c r="BH42" s="139" t="s">
        <v>97</v>
      </c>
      <c r="BI42" s="139" t="s">
        <v>97</v>
      </c>
      <c r="BJ42" s="139" t="s">
        <v>97</v>
      </c>
      <c r="BK42" s="139" t="s">
        <v>570</v>
      </c>
      <c r="BL42" s="139" t="s">
        <v>97</v>
      </c>
      <c r="BM42" s="139" t="s">
        <v>97</v>
      </c>
      <c r="BN42" s="139" t="s">
        <v>97</v>
      </c>
      <c r="BO42" s="139" t="s">
        <v>97</v>
      </c>
      <c r="BP42" s="139" t="s">
        <v>97</v>
      </c>
      <c r="BQ42" s="139" t="s">
        <v>572</v>
      </c>
      <c r="BR42" s="139" t="s">
        <v>541</v>
      </c>
      <c r="BS42" s="139" t="s">
        <v>97</v>
      </c>
      <c r="BT42" s="139" t="s">
        <v>576</v>
      </c>
      <c r="BU42" s="139" t="s">
        <v>539</v>
      </c>
      <c r="BV42" s="139" t="s">
        <v>97</v>
      </c>
      <c r="BW42" s="139" t="s">
        <v>97</v>
      </c>
      <c r="BX42" s="139" t="s">
        <v>97</v>
      </c>
      <c r="BY42" s="139" t="s">
        <v>97</v>
      </c>
      <c r="BZ42" s="139" t="s">
        <v>97</v>
      </c>
      <c r="CA42" s="139" t="s">
        <v>97</v>
      </c>
      <c r="CB42" s="139" t="s">
        <v>97</v>
      </c>
      <c r="CC42" s="139" t="s">
        <v>97</v>
      </c>
      <c r="CD42" s="139" t="s">
        <v>606</v>
      </c>
      <c r="CE42" s="139" t="s">
        <v>97</v>
      </c>
      <c r="CF42" s="139" t="s">
        <v>97</v>
      </c>
      <c r="CG42" s="139" t="s">
        <v>97</v>
      </c>
      <c r="CH42" s="139" t="s">
        <v>97</v>
      </c>
      <c r="CI42" s="139" t="s">
        <v>97</v>
      </c>
      <c r="CJ42" s="139" t="s">
        <v>97</v>
      </c>
      <c r="CK42" s="139" t="s">
        <v>97</v>
      </c>
      <c r="CL42" s="139" t="s">
        <v>97</v>
      </c>
      <c r="CM42" s="139" t="s">
        <v>97</v>
      </c>
      <c r="CN42" s="139" t="s">
        <v>97</v>
      </c>
      <c r="CO42" s="139" t="s">
        <v>97</v>
      </c>
      <c r="CP42" s="139" t="s">
        <v>97</v>
      </c>
      <c r="CQ42" s="139" t="s">
        <v>97</v>
      </c>
      <c r="CR42" s="139" t="s">
        <v>606</v>
      </c>
      <c r="CS42" s="139" t="s">
        <v>97</v>
      </c>
      <c r="CT42" s="139" t="s">
        <v>97</v>
      </c>
      <c r="CU42" s="139" t="s">
        <v>97</v>
      </c>
      <c r="CV42" s="139" t="s">
        <v>97</v>
      </c>
      <c r="CW42" s="139" t="s">
        <v>97</v>
      </c>
      <c r="CX42" s="139" t="s">
        <v>97</v>
      </c>
      <c r="CY42" s="139" t="s">
        <v>97</v>
      </c>
      <c r="CZ42" s="139" t="s">
        <v>97</v>
      </c>
      <c r="DA42" s="139" t="s">
        <v>575</v>
      </c>
      <c r="DB42" s="139" t="s">
        <v>541</v>
      </c>
      <c r="DC42" s="139" t="s">
        <v>97</v>
      </c>
      <c r="DD42" s="139" t="s">
        <v>97</v>
      </c>
      <c r="DE42" s="111" t="s">
        <v>97</v>
      </c>
      <c r="DF42" s="111" t="s">
        <v>97</v>
      </c>
      <c r="DG42" s="111" t="s">
        <v>97</v>
      </c>
      <c r="DH42" s="111" t="s">
        <v>97</v>
      </c>
      <c r="DI42" s="111" t="s">
        <v>97</v>
      </c>
      <c r="DJ42" s="111" t="s">
        <v>97</v>
      </c>
      <c r="DK42" s="111" t="s">
        <v>97</v>
      </c>
      <c r="DL42" s="111" t="s">
        <v>97</v>
      </c>
      <c r="DM42" s="111" t="s">
        <v>596</v>
      </c>
      <c r="DN42" s="111" t="s">
        <v>97</v>
      </c>
      <c r="DO42" s="111" t="s">
        <v>97</v>
      </c>
      <c r="DP42" s="112" t="s">
        <v>97</v>
      </c>
      <c r="DW42" s="112" t="s">
        <v>97</v>
      </c>
      <c r="DX42" s="112" t="s">
        <v>97</v>
      </c>
      <c r="DY42" s="112" t="s">
        <v>97</v>
      </c>
      <c r="DZ42" s="112" t="s">
        <v>97</v>
      </c>
    </row>
    <row r="43" spans="1:130" outlineLevel="1">
      <c r="A43" s="653"/>
      <c r="B43" s="57" t="str">
        <f t="shared" si="3"/>
        <v xml:space="preserve"> </v>
      </c>
      <c r="C43" s="57" t="str">
        <f t="shared" si="6"/>
        <v xml:space="preserve"> </v>
      </c>
      <c r="D43" s="57" t="str">
        <f t="shared" si="4"/>
        <v xml:space="preserve"> </v>
      </c>
      <c r="E43" s="84" t="str">
        <f t="shared" si="5"/>
        <v xml:space="preserve"> </v>
      </c>
      <c r="F43" s="644"/>
      <c r="G43" s="64" t="s">
        <v>97</v>
      </c>
      <c r="H43" s="172" t="s">
        <v>97</v>
      </c>
      <c r="I43" s="139" t="s">
        <v>97</v>
      </c>
      <c r="J43" s="139" t="s">
        <v>97</v>
      </c>
      <c r="K43" s="139" t="s">
        <v>97</v>
      </c>
      <c r="L43" s="139" t="s">
        <v>97</v>
      </c>
      <c r="M43" s="139" t="s">
        <v>600</v>
      </c>
      <c r="N43" s="139" t="s">
        <v>97</v>
      </c>
      <c r="O43" s="139" t="s">
        <v>97</v>
      </c>
      <c r="P43" s="139" t="s">
        <v>97</v>
      </c>
      <c r="Q43" s="139" t="s">
        <v>97</v>
      </c>
      <c r="R43" s="139" t="s">
        <v>97</v>
      </c>
      <c r="S43" s="139" t="s">
        <v>97</v>
      </c>
      <c r="T43" s="139" t="s">
        <v>97</v>
      </c>
      <c r="U43" s="139" t="s">
        <v>97</v>
      </c>
      <c r="V43" s="139" t="s">
        <v>97</v>
      </c>
      <c r="W43" s="139" t="s">
        <v>97</v>
      </c>
      <c r="X43" s="139" t="s">
        <v>97</v>
      </c>
      <c r="Y43" s="139" t="s">
        <v>97</v>
      </c>
      <c r="Z43" s="139" t="s">
        <v>97</v>
      </c>
      <c r="AA43" s="139" t="s">
        <v>97</v>
      </c>
      <c r="AB43" s="139" t="s">
        <v>97</v>
      </c>
      <c r="AC43" s="139" t="s">
        <v>97</v>
      </c>
      <c r="AD43" s="139" t="s">
        <v>97</v>
      </c>
      <c r="AE43" s="139" t="s">
        <v>97</v>
      </c>
      <c r="AF43" s="139" t="s">
        <v>97</v>
      </c>
      <c r="AG43" s="139" t="s">
        <v>566</v>
      </c>
      <c r="AH43" s="139" t="s">
        <v>97</v>
      </c>
      <c r="AI43" s="139" t="s">
        <v>97</v>
      </c>
      <c r="AJ43" s="139" t="s">
        <v>97</v>
      </c>
      <c r="AK43" s="139" t="s">
        <v>97</v>
      </c>
      <c r="AL43" s="139" t="s">
        <v>97</v>
      </c>
      <c r="AM43" s="139" t="s">
        <v>97</v>
      </c>
      <c r="AN43" s="139" t="s">
        <v>97</v>
      </c>
      <c r="AO43" s="139" t="s">
        <v>97</v>
      </c>
      <c r="AP43" s="139" t="s">
        <v>541</v>
      </c>
      <c r="AQ43" s="139" t="s">
        <v>97</v>
      </c>
      <c r="AR43" s="139" t="s">
        <v>97</v>
      </c>
      <c r="AS43" s="139" t="s">
        <v>97</v>
      </c>
      <c r="AT43" s="139" t="s">
        <v>97</v>
      </c>
      <c r="AU43" s="139" t="s">
        <v>97</v>
      </c>
      <c r="AV43" s="139" t="s">
        <v>97</v>
      </c>
      <c r="AW43" s="139" t="s">
        <v>97</v>
      </c>
      <c r="AX43" s="139" t="s">
        <v>97</v>
      </c>
      <c r="AY43" s="139" t="s">
        <v>97</v>
      </c>
      <c r="AZ43" s="139" t="s">
        <v>97</v>
      </c>
      <c r="BA43" s="139" t="s">
        <v>97</v>
      </c>
      <c r="BB43" s="139" t="s">
        <v>97</v>
      </c>
      <c r="BC43" s="139" t="s">
        <v>97</v>
      </c>
      <c r="BD43" s="139" t="s">
        <v>97</v>
      </c>
      <c r="BE43" s="139" t="s">
        <v>97</v>
      </c>
      <c r="BF43" s="139" t="s">
        <v>97</v>
      </c>
      <c r="BG43" s="139" t="s">
        <v>97</v>
      </c>
      <c r="BH43" s="139" t="s">
        <v>97</v>
      </c>
      <c r="BI43" s="139" t="s">
        <v>97</v>
      </c>
      <c r="BJ43" s="139" t="s">
        <v>97</v>
      </c>
      <c r="BK43" s="139" t="s">
        <v>585</v>
      </c>
      <c r="BL43" s="139" t="s">
        <v>97</v>
      </c>
      <c r="BM43" s="139" t="s">
        <v>97</v>
      </c>
      <c r="BN43" s="139" t="s">
        <v>97</v>
      </c>
      <c r="BO43" s="139" t="s">
        <v>97</v>
      </c>
      <c r="BP43" s="139" t="s">
        <v>97</v>
      </c>
      <c r="BQ43" s="139" t="s">
        <v>97</v>
      </c>
      <c r="BR43" s="139" t="s">
        <v>531</v>
      </c>
      <c r="BS43" s="139" t="s">
        <v>97</v>
      </c>
      <c r="BT43" s="139" t="s">
        <v>97</v>
      </c>
      <c r="BU43" s="139" t="s">
        <v>97</v>
      </c>
      <c r="BV43" s="139" t="s">
        <v>97</v>
      </c>
      <c r="BW43" s="139" t="s">
        <v>97</v>
      </c>
      <c r="BX43" s="139" t="s">
        <v>97</v>
      </c>
      <c r="BY43" s="139" t="s">
        <v>97</v>
      </c>
      <c r="BZ43" s="139" t="s">
        <v>97</v>
      </c>
      <c r="CA43" s="139" t="s">
        <v>97</v>
      </c>
      <c r="CB43" s="139" t="s">
        <v>97</v>
      </c>
      <c r="CC43" s="139" t="s">
        <v>97</v>
      </c>
      <c r="CD43" s="139" t="s">
        <v>97</v>
      </c>
      <c r="CE43" s="139" t="s">
        <v>97</v>
      </c>
      <c r="CF43" s="139" t="s">
        <v>97</v>
      </c>
      <c r="CG43" s="139" t="s">
        <v>97</v>
      </c>
      <c r="CH43" s="139" t="s">
        <v>97</v>
      </c>
      <c r="CI43" s="139" t="s">
        <v>97</v>
      </c>
      <c r="CJ43" s="139" t="s">
        <v>97</v>
      </c>
      <c r="CK43" s="137"/>
      <c r="CL43" s="139" t="s">
        <v>97</v>
      </c>
      <c r="CM43" s="139" t="s">
        <v>97</v>
      </c>
      <c r="CN43" s="139" t="s">
        <v>97</v>
      </c>
      <c r="CO43" s="139" t="s">
        <v>97</v>
      </c>
      <c r="CP43" s="139" t="s">
        <v>97</v>
      </c>
      <c r="CQ43" s="139" t="s">
        <v>97</v>
      </c>
      <c r="CR43" s="139" t="s">
        <v>97</v>
      </c>
      <c r="CS43" s="139" t="s">
        <v>97</v>
      </c>
      <c r="CT43" s="139" t="s">
        <v>97</v>
      </c>
      <c r="CU43" s="139" t="s">
        <v>97</v>
      </c>
      <c r="CV43" s="139" t="s">
        <v>97</v>
      </c>
      <c r="CW43" s="139" t="s">
        <v>97</v>
      </c>
      <c r="CX43" s="139" t="s">
        <v>97</v>
      </c>
      <c r="CY43" s="139" t="s">
        <v>97</v>
      </c>
      <c r="CZ43" s="139" t="s">
        <v>97</v>
      </c>
      <c r="DA43" s="139" t="s">
        <v>97</v>
      </c>
      <c r="DB43" s="139" t="s">
        <v>531</v>
      </c>
      <c r="DC43" s="139" t="s">
        <v>97</v>
      </c>
      <c r="DD43" s="139" t="s">
        <v>97</v>
      </c>
      <c r="DE43" s="111" t="s">
        <v>97</v>
      </c>
      <c r="DF43" s="111" t="s">
        <v>97</v>
      </c>
      <c r="DG43" s="111" t="s">
        <v>97</v>
      </c>
      <c r="DH43" s="111" t="s">
        <v>97</v>
      </c>
      <c r="DI43" s="111" t="s">
        <v>97</v>
      </c>
      <c r="DJ43" s="111" t="s">
        <v>97</v>
      </c>
      <c r="DK43" s="111" t="s">
        <v>97</v>
      </c>
      <c r="DL43" s="111" t="s">
        <v>97</v>
      </c>
      <c r="DM43" s="111" t="s">
        <v>589</v>
      </c>
      <c r="DN43" s="111" t="s">
        <v>97</v>
      </c>
      <c r="DO43" s="111" t="s">
        <v>97</v>
      </c>
      <c r="DP43" s="112" t="s">
        <v>97</v>
      </c>
      <c r="DW43" s="112" t="s">
        <v>97</v>
      </c>
      <c r="DX43" s="112" t="s">
        <v>97</v>
      </c>
      <c r="DY43" s="112" t="s">
        <v>97</v>
      </c>
      <c r="DZ43" s="112" t="s">
        <v>97</v>
      </c>
    </row>
    <row r="44" spans="1:130" outlineLevel="1">
      <c r="A44" s="653"/>
      <c r="B44" s="57" t="str">
        <f t="shared" si="3"/>
        <v xml:space="preserve"> </v>
      </c>
      <c r="C44" s="57" t="str">
        <f t="shared" si="6"/>
        <v xml:space="preserve"> </v>
      </c>
      <c r="D44" s="57" t="str">
        <f t="shared" si="4"/>
        <v xml:space="preserve"> </v>
      </c>
      <c r="E44" s="84" t="str">
        <f t="shared" si="5"/>
        <v xml:space="preserve"> </v>
      </c>
      <c r="F44" s="644"/>
      <c r="G44" s="64" t="s">
        <v>97</v>
      </c>
      <c r="H44" s="172" t="s">
        <v>97</v>
      </c>
      <c r="I44" s="139" t="s">
        <v>97</v>
      </c>
      <c r="J44" s="139" t="s">
        <v>97</v>
      </c>
      <c r="K44" s="139" t="s">
        <v>97</v>
      </c>
      <c r="L44" s="139" t="s">
        <v>97</v>
      </c>
      <c r="M44" s="139" t="s">
        <v>97</v>
      </c>
      <c r="N44" s="139" t="s">
        <v>97</v>
      </c>
      <c r="O44" s="139" t="s">
        <v>97</v>
      </c>
      <c r="P44" s="139" t="s">
        <v>97</v>
      </c>
      <c r="Q44" s="139" t="s">
        <v>97</v>
      </c>
      <c r="R44" s="139" t="s">
        <v>97</v>
      </c>
      <c r="S44" s="139" t="s">
        <v>97</v>
      </c>
      <c r="T44" s="139" t="s">
        <v>97</v>
      </c>
      <c r="U44" s="139" t="s">
        <v>97</v>
      </c>
      <c r="V44" s="139" t="s">
        <v>97</v>
      </c>
      <c r="W44" s="139" t="s">
        <v>97</v>
      </c>
      <c r="X44" s="139" t="s">
        <v>97</v>
      </c>
      <c r="Y44" s="139" t="s">
        <v>97</v>
      </c>
      <c r="Z44" s="139" t="s">
        <v>97</v>
      </c>
      <c r="AA44" s="139" t="s">
        <v>97</v>
      </c>
      <c r="AB44" s="139" t="s">
        <v>97</v>
      </c>
      <c r="AC44" s="139" t="s">
        <v>97</v>
      </c>
      <c r="AD44" s="139" t="s">
        <v>97</v>
      </c>
      <c r="AE44" s="139" t="s">
        <v>97</v>
      </c>
      <c r="AF44" s="139" t="s">
        <v>97</v>
      </c>
      <c r="AG44" s="139" t="s">
        <v>568</v>
      </c>
      <c r="AH44" s="139" t="s">
        <v>97</v>
      </c>
      <c r="AI44" s="139" t="s">
        <v>97</v>
      </c>
      <c r="AJ44" s="139" t="s">
        <v>97</v>
      </c>
      <c r="AK44" s="139" t="s">
        <v>97</v>
      </c>
      <c r="AL44" s="139" t="s">
        <v>97</v>
      </c>
      <c r="AM44" s="139" t="s">
        <v>97</v>
      </c>
      <c r="AN44" s="139" t="s">
        <v>97</v>
      </c>
      <c r="AO44" s="139" t="s">
        <v>97</v>
      </c>
      <c r="AP44" s="139" t="s">
        <v>97</v>
      </c>
      <c r="AQ44" s="139" t="s">
        <v>97</v>
      </c>
      <c r="AR44" s="139" t="s">
        <v>97</v>
      </c>
      <c r="AS44" s="139" t="s">
        <v>97</v>
      </c>
      <c r="AT44" s="139" t="s">
        <v>97</v>
      </c>
      <c r="AU44" s="139" t="s">
        <v>97</v>
      </c>
      <c r="AV44" s="139" t="s">
        <v>97</v>
      </c>
      <c r="AW44" s="139" t="s">
        <v>97</v>
      </c>
      <c r="AX44" s="139" t="s">
        <v>97</v>
      </c>
      <c r="AY44" s="139" t="s">
        <v>97</v>
      </c>
      <c r="AZ44" s="139" t="s">
        <v>97</v>
      </c>
      <c r="BA44" s="139" t="s">
        <v>97</v>
      </c>
      <c r="BB44" s="139" t="s">
        <v>97</v>
      </c>
      <c r="BC44" s="139" t="s">
        <v>97</v>
      </c>
      <c r="BD44" s="139" t="s">
        <v>97</v>
      </c>
      <c r="BE44" s="139" t="s">
        <v>97</v>
      </c>
      <c r="BF44" s="139" t="s">
        <v>97</v>
      </c>
      <c r="BG44" s="139" t="s">
        <v>97</v>
      </c>
      <c r="BH44" s="139" t="s">
        <v>97</v>
      </c>
      <c r="BI44" s="139" t="s">
        <v>97</v>
      </c>
      <c r="BJ44" s="139" t="s">
        <v>97</v>
      </c>
      <c r="BK44" s="139" t="s">
        <v>607</v>
      </c>
      <c r="BL44" s="139" t="s">
        <v>97</v>
      </c>
      <c r="BM44" s="139" t="s">
        <v>97</v>
      </c>
      <c r="BN44" s="139" t="s">
        <v>97</v>
      </c>
      <c r="BO44" s="139" t="s">
        <v>97</v>
      </c>
      <c r="BP44" s="139" t="s">
        <v>97</v>
      </c>
      <c r="BQ44" s="139" t="s">
        <v>97</v>
      </c>
      <c r="BR44" s="139" t="s">
        <v>97</v>
      </c>
      <c r="BS44" s="139" t="s">
        <v>97</v>
      </c>
      <c r="BT44" s="139" t="s">
        <v>97</v>
      </c>
      <c r="BU44" s="139" t="s">
        <v>97</v>
      </c>
      <c r="BV44" s="139" t="s">
        <v>97</v>
      </c>
      <c r="BW44" s="139" t="s">
        <v>97</v>
      </c>
      <c r="BX44" s="139" t="s">
        <v>97</v>
      </c>
      <c r="BY44" s="139" t="s">
        <v>97</v>
      </c>
      <c r="BZ44" s="139" t="s">
        <v>97</v>
      </c>
      <c r="CA44" s="139" t="s">
        <v>97</v>
      </c>
      <c r="CB44" s="139" t="s">
        <v>97</v>
      </c>
      <c r="CC44" s="139" t="s">
        <v>97</v>
      </c>
      <c r="CD44" s="139" t="s">
        <v>97</v>
      </c>
      <c r="CE44" s="139" t="s">
        <v>97</v>
      </c>
      <c r="CF44" s="139" t="s">
        <v>97</v>
      </c>
      <c r="CG44" s="139" t="s">
        <v>97</v>
      </c>
      <c r="CH44" s="139" t="s">
        <v>97</v>
      </c>
      <c r="CI44" s="139" t="s">
        <v>97</v>
      </c>
      <c r="CJ44" s="139" t="s">
        <v>97</v>
      </c>
      <c r="CK44" s="137"/>
      <c r="CL44" s="139" t="s">
        <v>97</v>
      </c>
      <c r="CM44" s="139" t="s">
        <v>97</v>
      </c>
      <c r="CN44" s="139" t="s">
        <v>97</v>
      </c>
      <c r="CO44" s="139" t="s">
        <v>97</v>
      </c>
      <c r="CP44" s="139" t="s">
        <v>97</v>
      </c>
      <c r="CQ44" s="139" t="s">
        <v>97</v>
      </c>
      <c r="CR44" s="139" t="s">
        <v>97</v>
      </c>
      <c r="CS44" s="139" t="s">
        <v>97</v>
      </c>
      <c r="CT44" s="139" t="s">
        <v>97</v>
      </c>
      <c r="CU44" s="139" t="s">
        <v>97</v>
      </c>
      <c r="CV44" s="139" t="s">
        <v>97</v>
      </c>
      <c r="CW44" s="139" t="s">
        <v>97</v>
      </c>
      <c r="CX44" s="139" t="s">
        <v>97</v>
      </c>
      <c r="CY44" s="139" t="s">
        <v>97</v>
      </c>
      <c r="CZ44" s="139" t="s">
        <v>97</v>
      </c>
      <c r="DA44" s="139" t="s">
        <v>97</v>
      </c>
      <c r="DB44" s="139" t="s">
        <v>97</v>
      </c>
      <c r="DC44" s="139" t="s">
        <v>97</v>
      </c>
      <c r="DD44" s="139" t="s">
        <v>97</v>
      </c>
      <c r="DE44" s="111" t="s">
        <v>97</v>
      </c>
      <c r="DF44" s="111" t="s">
        <v>97</v>
      </c>
      <c r="DG44" s="111" t="s">
        <v>97</v>
      </c>
      <c r="DH44" s="111" t="s">
        <v>97</v>
      </c>
      <c r="DI44" s="111" t="s">
        <v>97</v>
      </c>
      <c r="DJ44" s="111" t="s">
        <v>97</v>
      </c>
      <c r="DK44" s="111" t="s">
        <v>97</v>
      </c>
      <c r="DL44" s="111" t="s">
        <v>97</v>
      </c>
      <c r="DM44" s="111" t="s">
        <v>565</v>
      </c>
      <c r="DN44" s="111" t="s">
        <v>97</v>
      </c>
      <c r="DO44" s="111" t="s">
        <v>97</v>
      </c>
      <c r="DP44" s="112" t="s">
        <v>97</v>
      </c>
      <c r="DW44" s="112" t="s">
        <v>97</v>
      </c>
      <c r="DX44" s="112" t="s">
        <v>97</v>
      </c>
      <c r="DY44" s="112" t="s">
        <v>97</v>
      </c>
      <c r="DZ44" s="112" t="s">
        <v>97</v>
      </c>
    </row>
    <row r="45" spans="1:130" outlineLevel="1">
      <c r="A45" s="653"/>
      <c r="B45" s="57" t="str">
        <f t="shared" si="3"/>
        <v xml:space="preserve"> </v>
      </c>
      <c r="C45" s="57" t="str">
        <f t="shared" si="6"/>
        <v xml:space="preserve"> </v>
      </c>
      <c r="D45" s="57" t="str">
        <f t="shared" si="4"/>
        <v xml:space="preserve"> </v>
      </c>
      <c r="E45" s="84" t="str">
        <f t="shared" si="5"/>
        <v xml:space="preserve"> </v>
      </c>
      <c r="F45" s="644"/>
      <c r="G45" s="64" t="s">
        <v>97</v>
      </c>
      <c r="H45" s="172" t="s">
        <v>97</v>
      </c>
      <c r="I45" s="139" t="s">
        <v>97</v>
      </c>
      <c r="J45" s="139" t="s">
        <v>97</v>
      </c>
      <c r="K45" s="139" t="s">
        <v>97</v>
      </c>
      <c r="L45" s="139" t="s">
        <v>97</v>
      </c>
      <c r="M45" s="139" t="s">
        <v>97</v>
      </c>
      <c r="N45" s="139" t="s">
        <v>97</v>
      </c>
      <c r="O45" s="139" t="s">
        <v>97</v>
      </c>
      <c r="P45" s="139" t="s">
        <v>97</v>
      </c>
      <c r="Q45" s="139" t="s">
        <v>97</v>
      </c>
      <c r="R45" s="139" t="s">
        <v>97</v>
      </c>
      <c r="S45" s="139" t="s">
        <v>97</v>
      </c>
      <c r="T45" s="139" t="s">
        <v>97</v>
      </c>
      <c r="U45" s="139" t="s">
        <v>97</v>
      </c>
      <c r="V45" s="139" t="s">
        <v>97</v>
      </c>
      <c r="W45" s="139" t="s">
        <v>97</v>
      </c>
      <c r="X45" s="139" t="s">
        <v>97</v>
      </c>
      <c r="Y45" s="139" t="s">
        <v>97</v>
      </c>
      <c r="Z45" s="139" t="s">
        <v>97</v>
      </c>
      <c r="AA45" s="139" t="s">
        <v>97</v>
      </c>
      <c r="AB45" s="139" t="s">
        <v>97</v>
      </c>
      <c r="AC45" s="139" t="s">
        <v>97</v>
      </c>
      <c r="AD45" s="139" t="s">
        <v>97</v>
      </c>
      <c r="AE45" s="139" t="s">
        <v>97</v>
      </c>
      <c r="AF45" s="139" t="s">
        <v>97</v>
      </c>
      <c r="AG45" s="139" t="s">
        <v>570</v>
      </c>
      <c r="AH45" s="139" t="s">
        <v>97</v>
      </c>
      <c r="AI45" s="139" t="s">
        <v>97</v>
      </c>
      <c r="AJ45" s="139" t="s">
        <v>97</v>
      </c>
      <c r="AK45" s="139" t="s">
        <v>97</v>
      </c>
      <c r="AL45" s="139" t="s">
        <v>97</v>
      </c>
      <c r="AM45" s="139" t="s">
        <v>97</v>
      </c>
      <c r="AN45" s="139" t="s">
        <v>97</v>
      </c>
      <c r="AO45" s="139" t="s">
        <v>97</v>
      </c>
      <c r="AP45" s="139" t="s">
        <v>97</v>
      </c>
      <c r="AQ45" s="139" t="s">
        <v>97</v>
      </c>
      <c r="AR45" s="139" t="s">
        <v>97</v>
      </c>
      <c r="AS45" s="139" t="s">
        <v>97</v>
      </c>
      <c r="AT45" s="139" t="s">
        <v>97</v>
      </c>
      <c r="AU45" s="139" t="s">
        <v>97</v>
      </c>
      <c r="AV45" s="139" t="s">
        <v>97</v>
      </c>
      <c r="AW45" s="139" t="s">
        <v>97</v>
      </c>
      <c r="AX45" s="139" t="s">
        <v>97</v>
      </c>
      <c r="AY45" s="139" t="s">
        <v>97</v>
      </c>
      <c r="AZ45" s="139" t="s">
        <v>97</v>
      </c>
      <c r="BA45" s="139" t="s">
        <v>97</v>
      </c>
      <c r="BB45" s="139" t="s">
        <v>97</v>
      </c>
      <c r="BC45" s="139" t="s">
        <v>97</v>
      </c>
      <c r="BD45" s="139" t="s">
        <v>97</v>
      </c>
      <c r="BE45" s="139" t="s">
        <v>97</v>
      </c>
      <c r="BF45" s="139" t="s">
        <v>97</v>
      </c>
      <c r="BG45" s="139" t="s">
        <v>97</v>
      </c>
      <c r="BH45" s="139" t="s">
        <v>97</v>
      </c>
      <c r="BI45" s="139" t="s">
        <v>97</v>
      </c>
      <c r="BJ45" s="139" t="s">
        <v>97</v>
      </c>
      <c r="BK45" s="139" t="s">
        <v>541</v>
      </c>
      <c r="BL45" s="139" t="s">
        <v>97</v>
      </c>
      <c r="BM45" s="139" t="s">
        <v>97</v>
      </c>
      <c r="BN45" s="139" t="s">
        <v>97</v>
      </c>
      <c r="BO45" s="139" t="s">
        <v>97</v>
      </c>
      <c r="BP45" s="139" t="s">
        <v>97</v>
      </c>
      <c r="BQ45" s="139" t="s">
        <v>97</v>
      </c>
      <c r="BR45" s="139" t="s">
        <v>97</v>
      </c>
      <c r="BS45" s="139" t="s">
        <v>97</v>
      </c>
      <c r="BT45" s="139" t="s">
        <v>97</v>
      </c>
      <c r="BU45" s="139" t="s">
        <v>97</v>
      </c>
      <c r="BV45" s="139" t="s">
        <v>97</v>
      </c>
      <c r="BW45" s="139" t="s">
        <v>97</v>
      </c>
      <c r="BX45" s="139" t="s">
        <v>97</v>
      </c>
      <c r="BY45" s="139" t="s">
        <v>97</v>
      </c>
      <c r="BZ45" s="139" t="s">
        <v>97</v>
      </c>
      <c r="CA45" s="139" t="s">
        <v>97</v>
      </c>
      <c r="CB45" s="139" t="s">
        <v>97</v>
      </c>
      <c r="CC45" s="139" t="s">
        <v>97</v>
      </c>
      <c r="CD45" s="139" t="s">
        <v>97</v>
      </c>
      <c r="CE45" s="139" t="s">
        <v>97</v>
      </c>
      <c r="CF45" s="139" t="s">
        <v>97</v>
      </c>
      <c r="CG45" s="139" t="s">
        <v>97</v>
      </c>
      <c r="CH45" s="139" t="s">
        <v>97</v>
      </c>
      <c r="CI45" s="139" t="s">
        <v>97</v>
      </c>
      <c r="CJ45" s="139" t="s">
        <v>97</v>
      </c>
      <c r="CK45" s="137"/>
      <c r="CL45" s="139" t="s">
        <v>97</v>
      </c>
      <c r="CM45" s="139" t="s">
        <v>97</v>
      </c>
      <c r="CN45" s="139" t="s">
        <v>97</v>
      </c>
      <c r="CO45" s="139" t="s">
        <v>97</v>
      </c>
      <c r="CP45" s="139" t="s">
        <v>97</v>
      </c>
      <c r="CQ45" s="139" t="s">
        <v>97</v>
      </c>
      <c r="CR45" s="139" t="s">
        <v>97</v>
      </c>
      <c r="CS45" s="139" t="s">
        <v>97</v>
      </c>
      <c r="CT45" s="139" t="s">
        <v>97</v>
      </c>
      <c r="CU45" s="139" t="s">
        <v>97</v>
      </c>
      <c r="CV45" s="139" t="s">
        <v>97</v>
      </c>
      <c r="CW45" s="139" t="s">
        <v>97</v>
      </c>
      <c r="CX45" s="139" t="s">
        <v>97</v>
      </c>
      <c r="CY45" s="139" t="s">
        <v>97</v>
      </c>
      <c r="CZ45" s="139" t="s">
        <v>97</v>
      </c>
      <c r="DA45" s="139" t="s">
        <v>97</v>
      </c>
      <c r="DB45" s="139" t="s">
        <v>97</v>
      </c>
      <c r="DC45" s="139" t="s">
        <v>97</v>
      </c>
      <c r="DD45" s="139" t="s">
        <v>97</v>
      </c>
      <c r="DE45" s="111" t="s">
        <v>97</v>
      </c>
      <c r="DF45" s="111" t="s">
        <v>97</v>
      </c>
      <c r="DG45" s="111" t="s">
        <v>97</v>
      </c>
      <c r="DH45" s="111" t="s">
        <v>97</v>
      </c>
      <c r="DI45" s="111" t="s">
        <v>97</v>
      </c>
      <c r="DJ45" s="111" t="s">
        <v>97</v>
      </c>
      <c r="DK45" s="111" t="s">
        <v>97</v>
      </c>
      <c r="DL45" s="111" t="s">
        <v>97</v>
      </c>
      <c r="DM45" s="111" t="s">
        <v>475</v>
      </c>
      <c r="DN45" s="111" t="s">
        <v>97</v>
      </c>
      <c r="DO45" s="111" t="s">
        <v>97</v>
      </c>
      <c r="DP45" s="112" t="s">
        <v>97</v>
      </c>
      <c r="DW45" s="112" t="s">
        <v>97</v>
      </c>
      <c r="DX45" s="112" t="s">
        <v>97</v>
      </c>
      <c r="DY45" s="112" t="s">
        <v>97</v>
      </c>
      <c r="DZ45" s="112" t="s">
        <v>97</v>
      </c>
    </row>
    <row r="46" spans="1:130" outlineLevel="1">
      <c r="A46" s="653"/>
      <c r="B46" s="57" t="str">
        <f t="shared" ref="B46:B77" si="7">LOOKUP(Race,$DW$1:$DZ$1,DW46:DZ46)</f>
        <v xml:space="preserve"> </v>
      </c>
      <c r="C46" s="57" t="str">
        <f t="shared" si="6"/>
        <v xml:space="preserve"> </v>
      </c>
      <c r="D46" s="57" t="str">
        <f t="shared" ref="D46:D71" si="8">IF(NbCarriere&gt;1,LOOKUP(Carriere2,$G$1:$DP$1,$G46:$DP46)," ")</f>
        <v xml:space="preserve"> </v>
      </c>
      <c r="E46" s="84" t="str">
        <f t="shared" ref="E46:E71" si="9">IF(NbCarriere&gt;2,LOOKUP(Carriere3,$G$1:$DP$1,$G46:$DP46)," ")</f>
        <v xml:space="preserve"> </v>
      </c>
      <c r="F46" s="644"/>
      <c r="G46" s="64" t="s">
        <v>97</v>
      </c>
      <c r="H46" s="172" t="s">
        <v>97</v>
      </c>
      <c r="I46" s="139" t="s">
        <v>97</v>
      </c>
      <c r="J46" s="139" t="s">
        <v>97</v>
      </c>
      <c r="K46" s="139" t="s">
        <v>97</v>
      </c>
      <c r="L46" s="139" t="s">
        <v>97</v>
      </c>
      <c r="M46" s="139" t="s">
        <v>97</v>
      </c>
      <c r="N46" s="139" t="s">
        <v>97</v>
      </c>
      <c r="O46" s="139" t="s">
        <v>97</v>
      </c>
      <c r="P46" s="139" t="s">
        <v>97</v>
      </c>
      <c r="Q46" s="139" t="s">
        <v>97</v>
      </c>
      <c r="R46" s="139" t="s">
        <v>97</v>
      </c>
      <c r="S46" s="139" t="s">
        <v>97</v>
      </c>
      <c r="T46" s="139" t="s">
        <v>97</v>
      </c>
      <c r="U46" s="139" t="s">
        <v>97</v>
      </c>
      <c r="V46" s="139" t="s">
        <v>97</v>
      </c>
      <c r="W46" s="139" t="s">
        <v>97</v>
      </c>
      <c r="X46" s="139" t="s">
        <v>97</v>
      </c>
      <c r="Y46" s="139" t="s">
        <v>97</v>
      </c>
      <c r="Z46" s="139" t="s">
        <v>97</v>
      </c>
      <c r="AA46" s="139" t="s">
        <v>97</v>
      </c>
      <c r="AB46" s="139" t="s">
        <v>97</v>
      </c>
      <c r="AC46" s="139" t="s">
        <v>97</v>
      </c>
      <c r="AD46" s="139" t="s">
        <v>97</v>
      </c>
      <c r="AE46" s="139" t="s">
        <v>97</v>
      </c>
      <c r="AF46" s="139" t="s">
        <v>97</v>
      </c>
      <c r="AG46" s="139" t="s">
        <v>585</v>
      </c>
      <c r="AH46" s="139" t="s">
        <v>97</v>
      </c>
      <c r="AI46" s="139" t="s">
        <v>97</v>
      </c>
      <c r="AJ46" s="139" t="s">
        <v>97</v>
      </c>
      <c r="AK46" s="139" t="s">
        <v>97</v>
      </c>
      <c r="AL46" s="139" t="s">
        <v>97</v>
      </c>
      <c r="AM46" s="139" t="s">
        <v>97</v>
      </c>
      <c r="AN46" s="139" t="s">
        <v>97</v>
      </c>
      <c r="AO46" s="139" t="s">
        <v>97</v>
      </c>
      <c r="AP46" s="139" t="s">
        <v>97</v>
      </c>
      <c r="AQ46" s="139" t="s">
        <v>97</v>
      </c>
      <c r="AR46" s="139" t="s">
        <v>97</v>
      </c>
      <c r="AS46" s="139" t="s">
        <v>97</v>
      </c>
      <c r="AT46" s="139" t="s">
        <v>97</v>
      </c>
      <c r="AU46" s="139" t="s">
        <v>97</v>
      </c>
      <c r="AV46" s="139" t="s">
        <v>97</v>
      </c>
      <c r="AW46" s="139" t="s">
        <v>97</v>
      </c>
      <c r="AX46" s="139" t="s">
        <v>97</v>
      </c>
      <c r="AY46" s="139" t="s">
        <v>97</v>
      </c>
      <c r="AZ46" s="139" t="s">
        <v>97</v>
      </c>
      <c r="BA46" s="139" t="s">
        <v>97</v>
      </c>
      <c r="BB46" s="139" t="s">
        <v>97</v>
      </c>
      <c r="BC46" s="139" t="s">
        <v>97</v>
      </c>
      <c r="BD46" s="139" t="s">
        <v>97</v>
      </c>
      <c r="BE46" s="139" t="s">
        <v>97</v>
      </c>
      <c r="BF46" s="139" t="s">
        <v>97</v>
      </c>
      <c r="BG46" s="139" t="s">
        <v>97</v>
      </c>
      <c r="BH46" s="139" t="s">
        <v>97</v>
      </c>
      <c r="BI46" s="139" t="s">
        <v>97</v>
      </c>
      <c r="BJ46" s="139" t="s">
        <v>97</v>
      </c>
      <c r="BK46" s="139" t="s">
        <v>97</v>
      </c>
      <c r="BL46" s="139" t="s">
        <v>97</v>
      </c>
      <c r="BM46" s="139" t="s">
        <v>97</v>
      </c>
      <c r="BN46" s="139" t="s">
        <v>97</v>
      </c>
      <c r="BO46" s="139" t="s">
        <v>97</v>
      </c>
      <c r="BP46" s="139" t="s">
        <v>97</v>
      </c>
      <c r="BQ46" s="139" t="s">
        <v>97</v>
      </c>
      <c r="BR46" s="139" t="s">
        <v>97</v>
      </c>
      <c r="BS46" s="139" t="s">
        <v>97</v>
      </c>
      <c r="BT46" s="139" t="s">
        <v>97</v>
      </c>
      <c r="BU46" s="139" t="s">
        <v>97</v>
      </c>
      <c r="BV46" s="139" t="s">
        <v>97</v>
      </c>
      <c r="BW46" s="139" t="s">
        <v>97</v>
      </c>
      <c r="BX46" s="139" t="s">
        <v>97</v>
      </c>
      <c r="BY46" s="139" t="s">
        <v>97</v>
      </c>
      <c r="BZ46" s="139" t="s">
        <v>97</v>
      </c>
      <c r="CA46" s="139" t="s">
        <v>97</v>
      </c>
      <c r="CB46" s="139" t="s">
        <v>97</v>
      </c>
      <c r="CC46" s="139" t="s">
        <v>97</v>
      </c>
      <c r="CD46" s="139" t="s">
        <v>97</v>
      </c>
      <c r="CE46" s="139" t="s">
        <v>97</v>
      </c>
      <c r="CF46" s="139" t="s">
        <v>97</v>
      </c>
      <c r="CG46" s="139" t="s">
        <v>97</v>
      </c>
      <c r="CH46" s="139" t="s">
        <v>97</v>
      </c>
      <c r="CI46" s="139" t="s">
        <v>97</v>
      </c>
      <c r="CJ46" s="139" t="s">
        <v>97</v>
      </c>
      <c r="CK46" s="137"/>
      <c r="CL46" s="139" t="s">
        <v>97</v>
      </c>
      <c r="CM46" s="139" t="s">
        <v>97</v>
      </c>
      <c r="CN46" s="139" t="s">
        <v>97</v>
      </c>
      <c r="CO46" s="139" t="s">
        <v>97</v>
      </c>
      <c r="CP46" s="139" t="s">
        <v>97</v>
      </c>
      <c r="CQ46" s="139" t="s">
        <v>97</v>
      </c>
      <c r="CR46" s="139" t="s">
        <v>97</v>
      </c>
      <c r="CS46" s="139" t="s">
        <v>97</v>
      </c>
      <c r="CT46" s="139" t="s">
        <v>97</v>
      </c>
      <c r="CU46" s="139" t="s">
        <v>97</v>
      </c>
      <c r="CV46" s="139" t="s">
        <v>97</v>
      </c>
      <c r="CW46" s="139" t="s">
        <v>97</v>
      </c>
      <c r="CX46" s="139" t="s">
        <v>97</v>
      </c>
      <c r="CY46" s="139" t="s">
        <v>97</v>
      </c>
      <c r="CZ46" s="139" t="s">
        <v>97</v>
      </c>
      <c r="DA46" s="139" t="s">
        <v>97</v>
      </c>
      <c r="DB46" s="163"/>
      <c r="DC46" s="139" t="s">
        <v>97</v>
      </c>
      <c r="DD46" s="139" t="s">
        <v>97</v>
      </c>
      <c r="DE46" s="111" t="s">
        <v>97</v>
      </c>
      <c r="DF46" s="111" t="s">
        <v>97</v>
      </c>
      <c r="DG46" s="111" t="s">
        <v>97</v>
      </c>
      <c r="DH46" s="111" t="s">
        <v>97</v>
      </c>
      <c r="DI46" s="111" t="s">
        <v>97</v>
      </c>
      <c r="DJ46" s="111" t="s">
        <v>97</v>
      </c>
      <c r="DK46" s="111" t="s">
        <v>97</v>
      </c>
      <c r="DL46" s="111" t="s">
        <v>97</v>
      </c>
      <c r="DM46" s="111" t="s">
        <v>538</v>
      </c>
      <c r="DN46" s="111" t="s">
        <v>97</v>
      </c>
      <c r="DO46" s="111" t="s">
        <v>97</v>
      </c>
      <c r="DP46" s="112" t="s">
        <v>97</v>
      </c>
      <c r="DW46" s="112" t="s">
        <v>97</v>
      </c>
      <c r="DX46" s="112" t="s">
        <v>97</v>
      </c>
      <c r="DY46" s="112" t="s">
        <v>97</v>
      </c>
      <c r="DZ46" s="112" t="s">
        <v>97</v>
      </c>
    </row>
    <row r="47" spans="1:130" outlineLevel="1">
      <c r="A47" s="653"/>
      <c r="B47" s="57" t="str">
        <f t="shared" si="7"/>
        <v xml:space="preserve"> </v>
      </c>
      <c r="C47" s="57" t="str">
        <f t="shared" si="6"/>
        <v xml:space="preserve"> </v>
      </c>
      <c r="D47" s="57" t="str">
        <f t="shared" si="8"/>
        <v xml:space="preserve"> </v>
      </c>
      <c r="E47" s="84" t="str">
        <f t="shared" si="9"/>
        <v xml:space="preserve"> </v>
      </c>
      <c r="F47" s="644"/>
      <c r="G47" s="64" t="s">
        <v>97</v>
      </c>
      <c r="H47" s="172" t="s">
        <v>97</v>
      </c>
      <c r="I47" s="139" t="s">
        <v>97</v>
      </c>
      <c r="J47" s="139" t="s">
        <v>97</v>
      </c>
      <c r="K47" s="139" t="s">
        <v>97</v>
      </c>
      <c r="L47" s="139" t="s">
        <v>97</v>
      </c>
      <c r="M47" s="139" t="s">
        <v>97</v>
      </c>
      <c r="N47" s="139" t="s">
        <v>97</v>
      </c>
      <c r="O47" s="139" t="s">
        <v>97</v>
      </c>
      <c r="P47" s="139" t="s">
        <v>97</v>
      </c>
      <c r="Q47" s="139" t="s">
        <v>97</v>
      </c>
      <c r="R47" s="139" t="s">
        <v>97</v>
      </c>
      <c r="S47" s="139" t="s">
        <v>97</v>
      </c>
      <c r="T47" s="139" t="s">
        <v>97</v>
      </c>
      <c r="U47" s="139" t="s">
        <v>97</v>
      </c>
      <c r="V47" s="139" t="s">
        <v>97</v>
      </c>
      <c r="W47" s="139" t="s">
        <v>97</v>
      </c>
      <c r="X47" s="139" t="s">
        <v>97</v>
      </c>
      <c r="Y47" s="139" t="s">
        <v>97</v>
      </c>
      <c r="Z47" s="139" t="s">
        <v>97</v>
      </c>
      <c r="AA47" s="139" t="s">
        <v>97</v>
      </c>
      <c r="AB47" s="139" t="s">
        <v>97</v>
      </c>
      <c r="AC47" s="139" t="s">
        <v>97</v>
      </c>
      <c r="AD47" s="139" t="s">
        <v>97</v>
      </c>
      <c r="AE47" s="139" t="s">
        <v>97</v>
      </c>
      <c r="AF47" s="139" t="s">
        <v>97</v>
      </c>
      <c r="AG47" s="139" t="s">
        <v>541</v>
      </c>
      <c r="AH47" s="139" t="s">
        <v>97</v>
      </c>
      <c r="AI47" s="139" t="s">
        <v>97</v>
      </c>
      <c r="AJ47" s="139" t="s">
        <v>97</v>
      </c>
      <c r="AK47" s="139" t="s">
        <v>97</v>
      </c>
      <c r="AL47" s="139" t="s">
        <v>97</v>
      </c>
      <c r="AM47" s="139" t="s">
        <v>97</v>
      </c>
      <c r="AN47" s="139" t="s">
        <v>97</v>
      </c>
      <c r="AO47" s="139" t="s">
        <v>97</v>
      </c>
      <c r="AP47" s="139" t="s">
        <v>97</v>
      </c>
      <c r="AQ47" s="139" t="s">
        <v>97</v>
      </c>
      <c r="AR47" s="139" t="s">
        <v>97</v>
      </c>
      <c r="AS47" s="139" t="s">
        <v>97</v>
      </c>
      <c r="AT47" s="139" t="s">
        <v>97</v>
      </c>
      <c r="AU47" s="139" t="s">
        <v>97</v>
      </c>
      <c r="AV47" s="139" t="s">
        <v>97</v>
      </c>
      <c r="AW47" s="139" t="s">
        <v>97</v>
      </c>
      <c r="AX47" s="139" t="s">
        <v>97</v>
      </c>
      <c r="AY47" s="139" t="s">
        <v>97</v>
      </c>
      <c r="AZ47" s="139" t="s">
        <v>97</v>
      </c>
      <c r="BA47" s="139" t="s">
        <v>97</v>
      </c>
      <c r="BB47" s="139" t="s">
        <v>97</v>
      </c>
      <c r="BC47" s="139" t="s">
        <v>97</v>
      </c>
      <c r="BD47" s="139" t="s">
        <v>97</v>
      </c>
      <c r="BE47" s="139" t="s">
        <v>97</v>
      </c>
      <c r="BF47" s="139" t="s">
        <v>97</v>
      </c>
      <c r="BG47" s="139" t="s">
        <v>97</v>
      </c>
      <c r="BH47" s="139" t="s">
        <v>97</v>
      </c>
      <c r="BI47" s="139" t="s">
        <v>97</v>
      </c>
      <c r="BJ47" s="139" t="s">
        <v>97</v>
      </c>
      <c r="BK47" s="139" t="s">
        <v>97</v>
      </c>
      <c r="BL47" s="139" t="s">
        <v>97</v>
      </c>
      <c r="BM47" s="139" t="s">
        <v>97</v>
      </c>
      <c r="BN47" s="139" t="s">
        <v>97</v>
      </c>
      <c r="BO47" s="139" t="s">
        <v>97</v>
      </c>
      <c r="BP47" s="139" t="s">
        <v>97</v>
      </c>
      <c r="BQ47" s="139" t="s">
        <v>97</v>
      </c>
      <c r="BR47" s="139" t="s">
        <v>97</v>
      </c>
      <c r="BS47" s="139" t="s">
        <v>97</v>
      </c>
      <c r="BT47" s="139" t="s">
        <v>97</v>
      </c>
      <c r="BU47" s="139" t="s">
        <v>97</v>
      </c>
      <c r="BV47" s="139" t="s">
        <v>97</v>
      </c>
      <c r="BW47" s="139" t="s">
        <v>97</v>
      </c>
      <c r="BX47" s="139" t="s">
        <v>97</v>
      </c>
      <c r="BY47" s="139" t="s">
        <v>97</v>
      </c>
      <c r="BZ47" s="139" t="s">
        <v>97</v>
      </c>
      <c r="CA47" s="139" t="s">
        <v>97</v>
      </c>
      <c r="CB47" s="139" t="s">
        <v>97</v>
      </c>
      <c r="CC47" s="139" t="s">
        <v>97</v>
      </c>
      <c r="CD47" s="139" t="s">
        <v>97</v>
      </c>
      <c r="CE47" s="139" t="s">
        <v>97</v>
      </c>
      <c r="CF47" s="139" t="s">
        <v>97</v>
      </c>
      <c r="CG47" s="139" t="s">
        <v>97</v>
      </c>
      <c r="CH47" s="139" t="s">
        <v>97</v>
      </c>
      <c r="CI47" s="139" t="s">
        <v>97</v>
      </c>
      <c r="CJ47" s="139" t="s">
        <v>97</v>
      </c>
      <c r="CK47" s="137"/>
      <c r="CL47" s="139" t="s">
        <v>97</v>
      </c>
      <c r="CM47" s="139" t="s">
        <v>97</v>
      </c>
      <c r="CN47" s="139" t="s">
        <v>97</v>
      </c>
      <c r="CO47" s="139" t="s">
        <v>97</v>
      </c>
      <c r="CP47" s="139" t="s">
        <v>97</v>
      </c>
      <c r="CQ47" s="139" t="s">
        <v>97</v>
      </c>
      <c r="CR47" s="139" t="s">
        <v>97</v>
      </c>
      <c r="CS47" s="139" t="s">
        <v>97</v>
      </c>
      <c r="CT47" s="139" t="s">
        <v>97</v>
      </c>
      <c r="CU47" s="139" t="s">
        <v>97</v>
      </c>
      <c r="CV47" s="139" t="s">
        <v>97</v>
      </c>
      <c r="CW47" s="139" t="s">
        <v>97</v>
      </c>
      <c r="CX47" s="139" t="s">
        <v>97</v>
      </c>
      <c r="CY47" s="139" t="s">
        <v>97</v>
      </c>
      <c r="CZ47" s="139" t="s">
        <v>97</v>
      </c>
      <c r="DA47" s="139" t="s">
        <v>97</v>
      </c>
      <c r="DB47" s="139" t="s">
        <v>97</v>
      </c>
      <c r="DC47" s="139" t="s">
        <v>97</v>
      </c>
      <c r="DD47" s="139" t="s">
        <v>97</v>
      </c>
      <c r="DE47" s="111" t="s">
        <v>97</v>
      </c>
      <c r="DF47" s="111" t="s">
        <v>97</v>
      </c>
      <c r="DG47" s="111" t="s">
        <v>97</v>
      </c>
      <c r="DH47" s="111" t="s">
        <v>97</v>
      </c>
      <c r="DI47" s="111" t="s">
        <v>97</v>
      </c>
      <c r="DJ47" s="111" t="s">
        <v>97</v>
      </c>
      <c r="DK47" s="111" t="s">
        <v>97</v>
      </c>
      <c r="DL47" s="111" t="s">
        <v>97</v>
      </c>
      <c r="DM47" s="111" t="s">
        <v>606</v>
      </c>
      <c r="DN47" s="111" t="s">
        <v>97</v>
      </c>
      <c r="DO47" s="111" t="s">
        <v>97</v>
      </c>
      <c r="DP47" s="112" t="s">
        <v>97</v>
      </c>
      <c r="DW47" s="112" t="s">
        <v>97</v>
      </c>
      <c r="DX47" s="112" t="s">
        <v>97</v>
      </c>
      <c r="DY47" s="112" t="s">
        <v>97</v>
      </c>
      <c r="DZ47" s="112" t="s">
        <v>97</v>
      </c>
    </row>
    <row r="48" spans="1:130" outlineLevel="1">
      <c r="A48" s="653"/>
      <c r="B48" s="57" t="str">
        <f t="shared" si="7"/>
        <v xml:space="preserve"> </v>
      </c>
      <c r="C48" s="57" t="str">
        <f t="shared" si="6"/>
        <v xml:space="preserve"> </v>
      </c>
      <c r="D48" s="57" t="str">
        <f t="shared" si="8"/>
        <v xml:space="preserve"> </v>
      </c>
      <c r="E48" s="84" t="str">
        <f t="shared" si="9"/>
        <v xml:space="preserve"> </v>
      </c>
      <c r="F48" s="644"/>
      <c r="G48" s="64" t="s">
        <v>97</v>
      </c>
      <c r="H48" s="172" t="s">
        <v>97</v>
      </c>
      <c r="I48" s="139" t="s">
        <v>97</v>
      </c>
      <c r="J48" s="139" t="s">
        <v>97</v>
      </c>
      <c r="K48" s="139" t="s">
        <v>97</v>
      </c>
      <c r="L48" s="139" t="s">
        <v>97</v>
      </c>
      <c r="M48" s="139" t="s">
        <v>97</v>
      </c>
      <c r="N48" s="139" t="s">
        <v>97</v>
      </c>
      <c r="O48" s="139" t="s">
        <v>97</v>
      </c>
      <c r="P48" s="139" t="s">
        <v>97</v>
      </c>
      <c r="Q48" s="139" t="s">
        <v>97</v>
      </c>
      <c r="R48" s="139" t="s">
        <v>97</v>
      </c>
      <c r="S48" s="139" t="s">
        <v>97</v>
      </c>
      <c r="T48" s="139" t="s">
        <v>97</v>
      </c>
      <c r="U48" s="139" t="s">
        <v>97</v>
      </c>
      <c r="V48" s="139" t="s">
        <v>97</v>
      </c>
      <c r="W48" s="139" t="s">
        <v>97</v>
      </c>
      <c r="X48" s="139" t="s">
        <v>97</v>
      </c>
      <c r="Y48" s="139" t="s">
        <v>97</v>
      </c>
      <c r="Z48" s="139" t="s">
        <v>97</v>
      </c>
      <c r="AA48" s="139" t="s">
        <v>97</v>
      </c>
      <c r="AB48" s="139" t="s">
        <v>97</v>
      </c>
      <c r="AC48" s="139" t="s">
        <v>97</v>
      </c>
      <c r="AD48" s="139" t="s">
        <v>97</v>
      </c>
      <c r="AE48" s="139" t="s">
        <v>97</v>
      </c>
      <c r="AF48" s="139" t="s">
        <v>97</v>
      </c>
      <c r="AG48" s="139" t="s">
        <v>97</v>
      </c>
      <c r="AH48" s="139" t="s">
        <v>97</v>
      </c>
      <c r="AI48" s="139" t="s">
        <v>97</v>
      </c>
      <c r="AJ48" s="139" t="s">
        <v>97</v>
      </c>
      <c r="AK48" s="139" t="s">
        <v>97</v>
      </c>
      <c r="AL48" s="139" t="s">
        <v>97</v>
      </c>
      <c r="AM48" s="139" t="s">
        <v>97</v>
      </c>
      <c r="AN48" s="139" t="s">
        <v>97</v>
      </c>
      <c r="AO48" s="139" t="s">
        <v>97</v>
      </c>
      <c r="AP48" s="139" t="s">
        <v>97</v>
      </c>
      <c r="AQ48" s="139" t="s">
        <v>97</v>
      </c>
      <c r="AR48" s="139" t="s">
        <v>97</v>
      </c>
      <c r="AS48" s="139" t="s">
        <v>97</v>
      </c>
      <c r="AT48" s="139" t="s">
        <v>97</v>
      </c>
      <c r="AU48" s="139" t="s">
        <v>97</v>
      </c>
      <c r="AV48" s="139" t="s">
        <v>97</v>
      </c>
      <c r="AW48" s="139" t="s">
        <v>97</v>
      </c>
      <c r="AX48" s="139" t="s">
        <v>97</v>
      </c>
      <c r="AY48" s="139" t="s">
        <v>97</v>
      </c>
      <c r="AZ48" s="139" t="s">
        <v>97</v>
      </c>
      <c r="BA48" s="139" t="s">
        <v>97</v>
      </c>
      <c r="BB48" s="139" t="s">
        <v>97</v>
      </c>
      <c r="BC48" s="139" t="s">
        <v>97</v>
      </c>
      <c r="BD48" s="139" t="s">
        <v>97</v>
      </c>
      <c r="BE48" s="139" t="s">
        <v>97</v>
      </c>
      <c r="BF48" s="139" t="s">
        <v>97</v>
      </c>
      <c r="BG48" s="139" t="s">
        <v>97</v>
      </c>
      <c r="BH48" s="139" t="s">
        <v>97</v>
      </c>
      <c r="BI48" s="139" t="s">
        <v>97</v>
      </c>
      <c r="BJ48" s="139" t="s">
        <v>97</v>
      </c>
      <c r="BK48" s="139" t="s">
        <v>97</v>
      </c>
      <c r="BL48" s="139" t="s">
        <v>97</v>
      </c>
      <c r="BM48" s="139" t="s">
        <v>97</v>
      </c>
      <c r="BN48" s="139" t="s">
        <v>97</v>
      </c>
      <c r="BO48" s="139" t="s">
        <v>97</v>
      </c>
      <c r="BP48" s="139" t="s">
        <v>97</v>
      </c>
      <c r="BQ48" s="139" t="s">
        <v>97</v>
      </c>
      <c r="BR48" s="139" t="s">
        <v>97</v>
      </c>
      <c r="BS48" s="139" t="s">
        <v>97</v>
      </c>
      <c r="BT48" s="139" t="s">
        <v>97</v>
      </c>
      <c r="BU48" s="139" t="s">
        <v>97</v>
      </c>
      <c r="BV48" s="139" t="s">
        <v>97</v>
      </c>
      <c r="BW48" s="139" t="s">
        <v>97</v>
      </c>
      <c r="BX48" s="139" t="s">
        <v>97</v>
      </c>
      <c r="BY48" s="139" t="s">
        <v>97</v>
      </c>
      <c r="BZ48" s="139" t="s">
        <v>97</v>
      </c>
      <c r="CA48" s="139" t="s">
        <v>97</v>
      </c>
      <c r="CB48" s="139" t="s">
        <v>97</v>
      </c>
      <c r="CC48" s="139" t="s">
        <v>97</v>
      </c>
      <c r="CD48" s="139" t="s">
        <v>97</v>
      </c>
      <c r="CE48" s="139" t="s">
        <v>97</v>
      </c>
      <c r="CF48" s="139" t="s">
        <v>97</v>
      </c>
      <c r="CG48" s="139" t="s">
        <v>97</v>
      </c>
      <c r="CH48" s="139" t="s">
        <v>97</v>
      </c>
      <c r="CI48" s="139" t="s">
        <v>97</v>
      </c>
      <c r="CJ48" s="139" t="s">
        <v>97</v>
      </c>
      <c r="CK48" s="139" t="s">
        <v>97</v>
      </c>
      <c r="CL48" s="139" t="s">
        <v>97</v>
      </c>
      <c r="CM48" s="139" t="s">
        <v>97</v>
      </c>
      <c r="CN48" s="139" t="s">
        <v>97</v>
      </c>
      <c r="CO48" s="139" t="s">
        <v>97</v>
      </c>
      <c r="CP48" s="139" t="s">
        <v>97</v>
      </c>
      <c r="CQ48" s="139" t="s">
        <v>97</v>
      </c>
      <c r="CR48" s="139" t="s">
        <v>97</v>
      </c>
      <c r="CS48" s="139" t="s">
        <v>97</v>
      </c>
      <c r="CT48" s="139" t="s">
        <v>97</v>
      </c>
      <c r="CU48" s="139" t="s">
        <v>97</v>
      </c>
      <c r="CV48" s="139" t="s">
        <v>97</v>
      </c>
      <c r="CW48" s="139" t="s">
        <v>97</v>
      </c>
      <c r="CX48" s="139" t="s">
        <v>97</v>
      </c>
      <c r="CY48" s="139" t="s">
        <v>97</v>
      </c>
      <c r="CZ48" s="139" t="s">
        <v>97</v>
      </c>
      <c r="DA48" s="139" t="s">
        <v>97</v>
      </c>
      <c r="DB48" s="139" t="s">
        <v>97</v>
      </c>
      <c r="DC48" s="139" t="s">
        <v>97</v>
      </c>
      <c r="DD48" s="139" t="s">
        <v>97</v>
      </c>
      <c r="DE48" s="111" t="s">
        <v>97</v>
      </c>
      <c r="DF48" s="111" t="s">
        <v>97</v>
      </c>
      <c r="DG48" s="111" t="s">
        <v>97</v>
      </c>
      <c r="DH48" s="111" t="s">
        <v>97</v>
      </c>
      <c r="DI48" s="111" t="s">
        <v>97</v>
      </c>
      <c r="DJ48" s="111" t="s">
        <v>97</v>
      </c>
      <c r="DK48" s="111" t="s">
        <v>97</v>
      </c>
      <c r="DL48" s="111" t="s">
        <v>97</v>
      </c>
      <c r="DM48" s="111" t="s">
        <v>97</v>
      </c>
      <c r="DN48" s="111" t="s">
        <v>97</v>
      </c>
      <c r="DO48" s="111" t="s">
        <v>97</v>
      </c>
      <c r="DP48" s="112" t="s">
        <v>97</v>
      </c>
      <c r="DW48" s="112" t="s">
        <v>97</v>
      </c>
      <c r="DX48" s="112" t="s">
        <v>97</v>
      </c>
      <c r="DY48" s="112" t="s">
        <v>97</v>
      </c>
      <c r="DZ48" s="112" t="s">
        <v>97</v>
      </c>
    </row>
    <row r="49" spans="1:130" outlineLevel="1">
      <c r="A49" s="653"/>
      <c r="B49" s="57" t="str">
        <f t="shared" si="7"/>
        <v xml:space="preserve"> </v>
      </c>
      <c r="C49" s="57" t="str">
        <f t="shared" si="6"/>
        <v xml:space="preserve"> </v>
      </c>
      <c r="D49" s="57" t="str">
        <f t="shared" si="8"/>
        <v xml:space="preserve"> </v>
      </c>
      <c r="E49" s="84" t="str">
        <f t="shared" si="9"/>
        <v xml:space="preserve"> </v>
      </c>
      <c r="F49" s="644"/>
      <c r="G49" s="64" t="s">
        <v>97</v>
      </c>
      <c r="H49" s="172" t="s">
        <v>97</v>
      </c>
      <c r="I49" s="139" t="s">
        <v>97</v>
      </c>
      <c r="J49" s="139" t="s">
        <v>97</v>
      </c>
      <c r="K49" s="139" t="s">
        <v>97</v>
      </c>
      <c r="L49" s="139" t="s">
        <v>97</v>
      </c>
      <c r="M49" s="139" t="s">
        <v>97</v>
      </c>
      <c r="N49" s="139" t="s">
        <v>97</v>
      </c>
      <c r="O49" s="139" t="s">
        <v>97</v>
      </c>
      <c r="P49" s="139" t="s">
        <v>97</v>
      </c>
      <c r="Q49" s="139" t="s">
        <v>97</v>
      </c>
      <c r="R49" s="139" t="s">
        <v>97</v>
      </c>
      <c r="S49" s="139" t="s">
        <v>97</v>
      </c>
      <c r="T49" s="139" t="s">
        <v>97</v>
      </c>
      <c r="U49" s="139" t="s">
        <v>97</v>
      </c>
      <c r="V49" s="139" t="s">
        <v>97</v>
      </c>
      <c r="W49" s="139" t="s">
        <v>97</v>
      </c>
      <c r="X49" s="139" t="s">
        <v>97</v>
      </c>
      <c r="Y49" s="139" t="s">
        <v>97</v>
      </c>
      <c r="Z49" s="139" t="s">
        <v>97</v>
      </c>
      <c r="AA49" s="139" t="s">
        <v>97</v>
      </c>
      <c r="AB49" s="139" t="s">
        <v>97</v>
      </c>
      <c r="AC49" s="139" t="s">
        <v>97</v>
      </c>
      <c r="AD49" s="139" t="s">
        <v>97</v>
      </c>
      <c r="AE49" s="139" t="s">
        <v>97</v>
      </c>
      <c r="AF49" s="139" t="s">
        <v>97</v>
      </c>
      <c r="AG49" s="139" t="s">
        <v>97</v>
      </c>
      <c r="AH49" s="139" t="s">
        <v>97</v>
      </c>
      <c r="AI49" s="139" t="s">
        <v>97</v>
      </c>
      <c r="AJ49" s="139" t="s">
        <v>97</v>
      </c>
      <c r="AK49" s="139" t="s">
        <v>97</v>
      </c>
      <c r="AL49" s="139" t="s">
        <v>97</v>
      </c>
      <c r="AM49" s="139" t="s">
        <v>97</v>
      </c>
      <c r="AN49" s="139" t="s">
        <v>97</v>
      </c>
      <c r="AO49" s="139" t="s">
        <v>97</v>
      </c>
      <c r="AP49" s="139" t="s">
        <v>97</v>
      </c>
      <c r="AQ49" s="139" t="s">
        <v>97</v>
      </c>
      <c r="AR49" s="139" t="s">
        <v>97</v>
      </c>
      <c r="AS49" s="139" t="s">
        <v>97</v>
      </c>
      <c r="AT49" s="139" t="s">
        <v>97</v>
      </c>
      <c r="AU49" s="139" t="s">
        <v>97</v>
      </c>
      <c r="AV49" s="139" t="s">
        <v>97</v>
      </c>
      <c r="AW49" s="139" t="s">
        <v>97</v>
      </c>
      <c r="AX49" s="139" t="s">
        <v>97</v>
      </c>
      <c r="AY49" s="139" t="s">
        <v>97</v>
      </c>
      <c r="AZ49" s="139" t="s">
        <v>97</v>
      </c>
      <c r="BA49" s="139" t="s">
        <v>97</v>
      </c>
      <c r="BB49" s="139" t="s">
        <v>97</v>
      </c>
      <c r="BC49" s="139" t="s">
        <v>97</v>
      </c>
      <c r="BD49" s="139" t="s">
        <v>97</v>
      </c>
      <c r="BE49" s="139" t="s">
        <v>97</v>
      </c>
      <c r="BF49" s="139" t="s">
        <v>97</v>
      </c>
      <c r="BG49" s="139" t="s">
        <v>97</v>
      </c>
      <c r="BH49" s="139" t="s">
        <v>97</v>
      </c>
      <c r="BI49" s="139" t="s">
        <v>97</v>
      </c>
      <c r="BJ49" s="139" t="s">
        <v>97</v>
      </c>
      <c r="BK49" s="139" t="s">
        <v>97</v>
      </c>
      <c r="BL49" s="139" t="s">
        <v>97</v>
      </c>
      <c r="BM49" s="139" t="s">
        <v>97</v>
      </c>
      <c r="BN49" s="139" t="s">
        <v>97</v>
      </c>
      <c r="BO49" s="139" t="s">
        <v>97</v>
      </c>
      <c r="BP49" s="139" t="s">
        <v>97</v>
      </c>
      <c r="BQ49" s="139" t="s">
        <v>97</v>
      </c>
      <c r="BR49" s="139" t="s">
        <v>97</v>
      </c>
      <c r="BS49" s="139" t="s">
        <v>97</v>
      </c>
      <c r="BT49" s="139" t="s">
        <v>97</v>
      </c>
      <c r="BU49" s="139" t="s">
        <v>97</v>
      </c>
      <c r="BV49" s="139" t="s">
        <v>97</v>
      </c>
      <c r="BW49" s="139" t="s">
        <v>97</v>
      </c>
      <c r="BX49" s="139" t="s">
        <v>97</v>
      </c>
      <c r="BY49" s="139" t="s">
        <v>97</v>
      </c>
      <c r="BZ49" s="139" t="s">
        <v>97</v>
      </c>
      <c r="CA49" s="139" t="s">
        <v>97</v>
      </c>
      <c r="CB49" s="139" t="s">
        <v>97</v>
      </c>
      <c r="CC49" s="139" t="s">
        <v>97</v>
      </c>
      <c r="CD49" s="139" t="s">
        <v>97</v>
      </c>
      <c r="CE49" s="139" t="s">
        <v>97</v>
      </c>
      <c r="CF49" s="139" t="s">
        <v>97</v>
      </c>
      <c r="CG49" s="139" t="s">
        <v>97</v>
      </c>
      <c r="CH49" s="139" t="s">
        <v>97</v>
      </c>
      <c r="CI49" s="139" t="s">
        <v>97</v>
      </c>
      <c r="CJ49" s="139" t="s">
        <v>97</v>
      </c>
      <c r="CK49" s="139" t="s">
        <v>97</v>
      </c>
      <c r="CL49" s="139" t="s">
        <v>97</v>
      </c>
      <c r="CM49" s="139" t="s">
        <v>97</v>
      </c>
      <c r="CN49" s="139" t="s">
        <v>97</v>
      </c>
      <c r="CO49" s="139" t="s">
        <v>97</v>
      </c>
      <c r="CP49" s="139" t="s">
        <v>97</v>
      </c>
      <c r="CQ49" s="139" t="s">
        <v>97</v>
      </c>
      <c r="CR49" s="139" t="s">
        <v>97</v>
      </c>
      <c r="CS49" s="139" t="s">
        <v>97</v>
      </c>
      <c r="CT49" s="139" t="s">
        <v>97</v>
      </c>
      <c r="CU49" s="139" t="s">
        <v>97</v>
      </c>
      <c r="CV49" s="139" t="s">
        <v>97</v>
      </c>
      <c r="CW49" s="139" t="s">
        <v>97</v>
      </c>
      <c r="CX49" s="139" t="s">
        <v>97</v>
      </c>
      <c r="CY49" s="139" t="s">
        <v>97</v>
      </c>
      <c r="CZ49" s="139" t="s">
        <v>97</v>
      </c>
      <c r="DA49" s="139" t="s">
        <v>97</v>
      </c>
      <c r="DB49" s="139" t="s">
        <v>97</v>
      </c>
      <c r="DC49" s="139" t="s">
        <v>97</v>
      </c>
      <c r="DD49" s="139" t="s">
        <v>97</v>
      </c>
      <c r="DE49" s="111" t="s">
        <v>97</v>
      </c>
      <c r="DF49" s="111" t="s">
        <v>97</v>
      </c>
      <c r="DG49" s="111" t="s">
        <v>97</v>
      </c>
      <c r="DH49" s="111" t="s">
        <v>97</v>
      </c>
      <c r="DI49" s="111" t="s">
        <v>97</v>
      </c>
      <c r="DJ49" s="111" t="s">
        <v>97</v>
      </c>
      <c r="DK49" s="111" t="s">
        <v>97</v>
      </c>
      <c r="DL49" s="111" t="s">
        <v>97</v>
      </c>
      <c r="DM49" s="111" t="s">
        <v>97</v>
      </c>
      <c r="DN49" s="111" t="s">
        <v>97</v>
      </c>
      <c r="DO49" s="111" t="s">
        <v>97</v>
      </c>
      <c r="DP49" s="112" t="s">
        <v>97</v>
      </c>
      <c r="DW49" s="112" t="s">
        <v>97</v>
      </c>
      <c r="DX49" s="112" t="s">
        <v>97</v>
      </c>
      <c r="DY49" s="112" t="s">
        <v>97</v>
      </c>
      <c r="DZ49" s="112" t="s">
        <v>97</v>
      </c>
    </row>
    <row r="50" spans="1:130" outlineLevel="1">
      <c r="A50" s="653"/>
      <c r="B50" s="57" t="str">
        <f t="shared" si="7"/>
        <v xml:space="preserve"> </v>
      </c>
      <c r="C50" s="57" t="str">
        <f t="shared" si="6"/>
        <v xml:space="preserve"> </v>
      </c>
      <c r="D50" s="57" t="str">
        <f t="shared" si="8"/>
        <v xml:space="preserve"> </v>
      </c>
      <c r="E50" s="84" t="str">
        <f t="shared" si="9"/>
        <v xml:space="preserve"> </v>
      </c>
      <c r="F50" s="644"/>
      <c r="G50" s="64" t="s">
        <v>97</v>
      </c>
      <c r="H50" s="172" t="s">
        <v>97</v>
      </c>
      <c r="I50" s="139" t="s">
        <v>97</v>
      </c>
      <c r="J50" s="139" t="s">
        <v>97</v>
      </c>
      <c r="K50" s="139" t="s">
        <v>97</v>
      </c>
      <c r="L50" s="139" t="s">
        <v>97</v>
      </c>
      <c r="M50" s="139" t="s">
        <v>97</v>
      </c>
      <c r="N50" s="139" t="s">
        <v>97</v>
      </c>
      <c r="O50" s="139" t="s">
        <v>97</v>
      </c>
      <c r="P50" s="139" t="s">
        <v>97</v>
      </c>
      <c r="Q50" s="139" t="s">
        <v>97</v>
      </c>
      <c r="R50" s="139" t="s">
        <v>97</v>
      </c>
      <c r="S50" s="139" t="s">
        <v>97</v>
      </c>
      <c r="T50" s="139" t="s">
        <v>97</v>
      </c>
      <c r="U50" s="139" t="s">
        <v>97</v>
      </c>
      <c r="V50" s="139" t="s">
        <v>97</v>
      </c>
      <c r="W50" s="139" t="s">
        <v>97</v>
      </c>
      <c r="X50" s="139" t="s">
        <v>97</v>
      </c>
      <c r="Y50" s="139" t="s">
        <v>97</v>
      </c>
      <c r="Z50" s="139" t="s">
        <v>97</v>
      </c>
      <c r="AA50" s="139" t="s">
        <v>97</v>
      </c>
      <c r="AB50" s="139" t="s">
        <v>97</v>
      </c>
      <c r="AC50" s="139" t="s">
        <v>97</v>
      </c>
      <c r="AD50" s="139" t="s">
        <v>97</v>
      </c>
      <c r="AE50" s="139" t="s">
        <v>97</v>
      </c>
      <c r="AF50" s="139" t="s">
        <v>97</v>
      </c>
      <c r="AG50" s="139" t="s">
        <v>97</v>
      </c>
      <c r="AH50" s="139" t="s">
        <v>97</v>
      </c>
      <c r="AI50" s="139" t="s">
        <v>97</v>
      </c>
      <c r="AJ50" s="139" t="s">
        <v>97</v>
      </c>
      <c r="AK50" s="139" t="s">
        <v>97</v>
      </c>
      <c r="AL50" s="139" t="s">
        <v>97</v>
      </c>
      <c r="AM50" s="139" t="s">
        <v>97</v>
      </c>
      <c r="AN50" s="139" t="s">
        <v>97</v>
      </c>
      <c r="AO50" s="139" t="s">
        <v>97</v>
      </c>
      <c r="AP50" s="139" t="s">
        <v>97</v>
      </c>
      <c r="AQ50" s="139" t="s">
        <v>97</v>
      </c>
      <c r="AR50" s="139" t="s">
        <v>97</v>
      </c>
      <c r="AS50" s="139" t="s">
        <v>97</v>
      </c>
      <c r="AT50" s="139" t="s">
        <v>97</v>
      </c>
      <c r="AU50" s="139" t="s">
        <v>97</v>
      </c>
      <c r="AV50" s="139" t="s">
        <v>97</v>
      </c>
      <c r="AW50" s="139" t="s">
        <v>97</v>
      </c>
      <c r="AX50" s="139" t="s">
        <v>97</v>
      </c>
      <c r="AY50" s="139" t="s">
        <v>97</v>
      </c>
      <c r="AZ50" s="139" t="s">
        <v>97</v>
      </c>
      <c r="BA50" s="139" t="s">
        <v>97</v>
      </c>
      <c r="BB50" s="139" t="s">
        <v>97</v>
      </c>
      <c r="BC50" s="139" t="s">
        <v>97</v>
      </c>
      <c r="BD50" s="139" t="s">
        <v>97</v>
      </c>
      <c r="BE50" s="139" t="s">
        <v>97</v>
      </c>
      <c r="BF50" s="139" t="s">
        <v>97</v>
      </c>
      <c r="BG50" s="139" t="s">
        <v>97</v>
      </c>
      <c r="BH50" s="139" t="s">
        <v>97</v>
      </c>
      <c r="BI50" s="139" t="s">
        <v>97</v>
      </c>
      <c r="BJ50" s="139" t="s">
        <v>97</v>
      </c>
      <c r="BK50" s="139" t="s">
        <v>97</v>
      </c>
      <c r="BL50" s="139" t="s">
        <v>97</v>
      </c>
      <c r="BM50" s="139" t="s">
        <v>97</v>
      </c>
      <c r="BN50" s="139" t="s">
        <v>97</v>
      </c>
      <c r="BO50" s="139" t="s">
        <v>97</v>
      </c>
      <c r="BP50" s="139" t="s">
        <v>97</v>
      </c>
      <c r="BQ50" s="139" t="s">
        <v>97</v>
      </c>
      <c r="BR50" s="139" t="s">
        <v>97</v>
      </c>
      <c r="BS50" s="139" t="s">
        <v>97</v>
      </c>
      <c r="BT50" s="139" t="s">
        <v>97</v>
      </c>
      <c r="BU50" s="139" t="s">
        <v>97</v>
      </c>
      <c r="BV50" s="139" t="s">
        <v>97</v>
      </c>
      <c r="BW50" s="139" t="s">
        <v>97</v>
      </c>
      <c r="BX50" s="139" t="s">
        <v>97</v>
      </c>
      <c r="BY50" s="139" t="s">
        <v>97</v>
      </c>
      <c r="BZ50" s="139" t="s">
        <v>97</v>
      </c>
      <c r="CA50" s="139" t="s">
        <v>97</v>
      </c>
      <c r="CB50" s="139" t="s">
        <v>97</v>
      </c>
      <c r="CC50" s="139" t="s">
        <v>97</v>
      </c>
      <c r="CD50" s="139" t="s">
        <v>97</v>
      </c>
      <c r="CE50" s="139" t="s">
        <v>97</v>
      </c>
      <c r="CF50" s="139" t="s">
        <v>97</v>
      </c>
      <c r="CG50" s="139" t="s">
        <v>97</v>
      </c>
      <c r="CH50" s="139" t="s">
        <v>97</v>
      </c>
      <c r="CI50" s="139" t="s">
        <v>97</v>
      </c>
      <c r="CJ50" s="139" t="s">
        <v>97</v>
      </c>
      <c r="CK50" s="139" t="s">
        <v>97</v>
      </c>
      <c r="CL50" s="139" t="s">
        <v>97</v>
      </c>
      <c r="CM50" s="139" t="s">
        <v>97</v>
      </c>
      <c r="CN50" s="139" t="s">
        <v>97</v>
      </c>
      <c r="CO50" s="139" t="s">
        <v>97</v>
      </c>
      <c r="CP50" s="139" t="s">
        <v>97</v>
      </c>
      <c r="CQ50" s="139" t="s">
        <v>97</v>
      </c>
      <c r="CR50" s="139" t="s">
        <v>97</v>
      </c>
      <c r="CS50" s="139" t="s">
        <v>97</v>
      </c>
      <c r="CT50" s="139" t="s">
        <v>97</v>
      </c>
      <c r="CU50" s="139" t="s">
        <v>97</v>
      </c>
      <c r="CV50" s="139" t="s">
        <v>97</v>
      </c>
      <c r="CW50" s="139" t="s">
        <v>97</v>
      </c>
      <c r="CX50" s="139" t="s">
        <v>97</v>
      </c>
      <c r="CY50" s="139" t="s">
        <v>97</v>
      </c>
      <c r="CZ50" s="139" t="s">
        <v>97</v>
      </c>
      <c r="DA50" s="139" t="s">
        <v>97</v>
      </c>
      <c r="DB50" s="139" t="s">
        <v>97</v>
      </c>
      <c r="DC50" s="139" t="s">
        <v>97</v>
      </c>
      <c r="DD50" s="139" t="s">
        <v>97</v>
      </c>
      <c r="DE50" s="111" t="s">
        <v>97</v>
      </c>
      <c r="DF50" s="111" t="s">
        <v>97</v>
      </c>
      <c r="DG50" s="111" t="s">
        <v>97</v>
      </c>
      <c r="DH50" s="111" t="s">
        <v>97</v>
      </c>
      <c r="DI50" s="111" t="s">
        <v>97</v>
      </c>
      <c r="DJ50" s="111" t="s">
        <v>97</v>
      </c>
      <c r="DK50" s="111" t="s">
        <v>97</v>
      </c>
      <c r="DL50" s="111" t="s">
        <v>97</v>
      </c>
      <c r="DM50" s="111" t="s">
        <v>97</v>
      </c>
      <c r="DN50" s="111" t="s">
        <v>97</v>
      </c>
      <c r="DO50" s="111" t="s">
        <v>97</v>
      </c>
      <c r="DP50" s="112" t="s">
        <v>97</v>
      </c>
      <c r="DW50" s="112" t="s">
        <v>97</v>
      </c>
      <c r="DX50" s="112" t="s">
        <v>97</v>
      </c>
      <c r="DY50" s="112" t="s">
        <v>97</v>
      </c>
      <c r="DZ50" s="112" t="s">
        <v>97</v>
      </c>
    </row>
    <row r="51" spans="1:130" outlineLevel="1">
      <c r="A51" s="653"/>
      <c r="B51" s="57" t="str">
        <f t="shared" si="7"/>
        <v xml:space="preserve"> </v>
      </c>
      <c r="C51" s="57" t="str">
        <f t="shared" si="6"/>
        <v xml:space="preserve"> </v>
      </c>
      <c r="D51" s="57" t="str">
        <f t="shared" si="8"/>
        <v xml:space="preserve"> </v>
      </c>
      <c r="E51" s="84" t="str">
        <f t="shared" si="9"/>
        <v xml:space="preserve"> </v>
      </c>
      <c r="F51" s="644"/>
      <c r="G51" s="64" t="s">
        <v>97</v>
      </c>
      <c r="H51" s="172" t="s">
        <v>97</v>
      </c>
      <c r="I51" s="139" t="s">
        <v>97</v>
      </c>
      <c r="J51" s="139" t="s">
        <v>97</v>
      </c>
      <c r="K51" s="139" t="s">
        <v>97</v>
      </c>
      <c r="L51" s="139" t="s">
        <v>97</v>
      </c>
      <c r="M51" s="139" t="s">
        <v>97</v>
      </c>
      <c r="N51" s="139" t="s">
        <v>97</v>
      </c>
      <c r="O51" s="139" t="s">
        <v>97</v>
      </c>
      <c r="P51" s="139" t="s">
        <v>97</v>
      </c>
      <c r="Q51" s="139" t="s">
        <v>97</v>
      </c>
      <c r="R51" s="139" t="s">
        <v>97</v>
      </c>
      <c r="S51" s="139" t="s">
        <v>97</v>
      </c>
      <c r="T51" s="139" t="s">
        <v>97</v>
      </c>
      <c r="U51" s="139" t="s">
        <v>97</v>
      </c>
      <c r="V51" s="139" t="s">
        <v>97</v>
      </c>
      <c r="W51" s="139" t="s">
        <v>97</v>
      </c>
      <c r="X51" s="139" t="s">
        <v>97</v>
      </c>
      <c r="Y51" s="139" t="s">
        <v>97</v>
      </c>
      <c r="Z51" s="139" t="s">
        <v>97</v>
      </c>
      <c r="AA51" s="139" t="s">
        <v>97</v>
      </c>
      <c r="AB51" s="139" t="s">
        <v>97</v>
      </c>
      <c r="AC51" s="139" t="s">
        <v>97</v>
      </c>
      <c r="AD51" s="139" t="s">
        <v>97</v>
      </c>
      <c r="AE51" s="139" t="s">
        <v>97</v>
      </c>
      <c r="AF51" s="139" t="s">
        <v>97</v>
      </c>
      <c r="AG51" s="139" t="s">
        <v>97</v>
      </c>
      <c r="AH51" s="139" t="s">
        <v>97</v>
      </c>
      <c r="AI51" s="139" t="s">
        <v>97</v>
      </c>
      <c r="AJ51" s="139" t="s">
        <v>97</v>
      </c>
      <c r="AK51" s="139" t="s">
        <v>97</v>
      </c>
      <c r="AL51" s="139" t="s">
        <v>97</v>
      </c>
      <c r="AM51" s="139" t="s">
        <v>97</v>
      </c>
      <c r="AN51" s="139" t="s">
        <v>97</v>
      </c>
      <c r="AO51" s="139" t="s">
        <v>97</v>
      </c>
      <c r="AP51" s="139" t="s">
        <v>97</v>
      </c>
      <c r="AQ51" s="139" t="s">
        <v>97</v>
      </c>
      <c r="AR51" s="139" t="s">
        <v>97</v>
      </c>
      <c r="AS51" s="139" t="s">
        <v>97</v>
      </c>
      <c r="AT51" s="139" t="s">
        <v>97</v>
      </c>
      <c r="AU51" s="139" t="s">
        <v>97</v>
      </c>
      <c r="AV51" s="139" t="s">
        <v>97</v>
      </c>
      <c r="AW51" s="139" t="s">
        <v>97</v>
      </c>
      <c r="AX51" s="139" t="s">
        <v>97</v>
      </c>
      <c r="AY51" s="139" t="s">
        <v>97</v>
      </c>
      <c r="AZ51" s="139" t="s">
        <v>97</v>
      </c>
      <c r="BA51" s="139" t="s">
        <v>97</v>
      </c>
      <c r="BB51" s="139" t="s">
        <v>97</v>
      </c>
      <c r="BC51" s="139" t="s">
        <v>97</v>
      </c>
      <c r="BD51" s="139" t="s">
        <v>97</v>
      </c>
      <c r="BE51" s="139" t="s">
        <v>97</v>
      </c>
      <c r="BF51" s="139" t="s">
        <v>97</v>
      </c>
      <c r="BG51" s="139" t="s">
        <v>97</v>
      </c>
      <c r="BH51" s="139" t="s">
        <v>97</v>
      </c>
      <c r="BI51" s="139" t="s">
        <v>97</v>
      </c>
      <c r="BJ51" s="139" t="s">
        <v>97</v>
      </c>
      <c r="BK51" s="139" t="s">
        <v>97</v>
      </c>
      <c r="BL51" s="139" t="s">
        <v>97</v>
      </c>
      <c r="BM51" s="139" t="s">
        <v>97</v>
      </c>
      <c r="BN51" s="139" t="s">
        <v>97</v>
      </c>
      <c r="BO51" s="139" t="s">
        <v>97</v>
      </c>
      <c r="BP51" s="139" t="s">
        <v>97</v>
      </c>
      <c r="BQ51" s="139" t="s">
        <v>97</v>
      </c>
      <c r="BR51" s="139" t="s">
        <v>97</v>
      </c>
      <c r="BS51" s="139" t="s">
        <v>97</v>
      </c>
      <c r="BT51" s="139" t="s">
        <v>97</v>
      </c>
      <c r="BU51" s="139" t="s">
        <v>97</v>
      </c>
      <c r="BV51" s="139" t="s">
        <v>97</v>
      </c>
      <c r="BW51" s="139" t="s">
        <v>97</v>
      </c>
      <c r="BX51" s="139" t="s">
        <v>97</v>
      </c>
      <c r="BY51" s="139" t="s">
        <v>97</v>
      </c>
      <c r="BZ51" s="139" t="s">
        <v>97</v>
      </c>
      <c r="CA51" s="139" t="s">
        <v>97</v>
      </c>
      <c r="CB51" s="139" t="s">
        <v>97</v>
      </c>
      <c r="CC51" s="139" t="s">
        <v>97</v>
      </c>
      <c r="CD51" s="139" t="s">
        <v>97</v>
      </c>
      <c r="CE51" s="139" t="s">
        <v>97</v>
      </c>
      <c r="CF51" s="139" t="s">
        <v>97</v>
      </c>
      <c r="CG51" s="139" t="s">
        <v>97</v>
      </c>
      <c r="CH51" s="139" t="s">
        <v>97</v>
      </c>
      <c r="CI51" s="139" t="s">
        <v>97</v>
      </c>
      <c r="CJ51" s="139" t="s">
        <v>97</v>
      </c>
      <c r="CK51" s="139" t="s">
        <v>97</v>
      </c>
      <c r="CL51" s="139" t="s">
        <v>97</v>
      </c>
      <c r="CM51" s="139" t="s">
        <v>97</v>
      </c>
      <c r="CN51" s="139" t="s">
        <v>97</v>
      </c>
      <c r="CO51" s="139" t="s">
        <v>97</v>
      </c>
      <c r="CP51" s="139" t="s">
        <v>97</v>
      </c>
      <c r="CQ51" s="139" t="s">
        <v>97</v>
      </c>
      <c r="CR51" s="139" t="s">
        <v>97</v>
      </c>
      <c r="CS51" s="139" t="s">
        <v>97</v>
      </c>
      <c r="CT51" s="139" t="s">
        <v>97</v>
      </c>
      <c r="CU51" s="139" t="s">
        <v>97</v>
      </c>
      <c r="CV51" s="139" t="s">
        <v>97</v>
      </c>
      <c r="CW51" s="139" t="s">
        <v>97</v>
      </c>
      <c r="CX51" s="139" t="s">
        <v>97</v>
      </c>
      <c r="CY51" s="139" t="s">
        <v>97</v>
      </c>
      <c r="CZ51" s="139" t="s">
        <v>97</v>
      </c>
      <c r="DA51" s="139" t="s">
        <v>97</v>
      </c>
      <c r="DB51" s="139" t="s">
        <v>97</v>
      </c>
      <c r="DC51" s="139" t="s">
        <v>97</v>
      </c>
      <c r="DD51" s="139" t="s">
        <v>97</v>
      </c>
      <c r="DE51" s="111" t="s">
        <v>97</v>
      </c>
      <c r="DF51" s="111" t="s">
        <v>97</v>
      </c>
      <c r="DG51" s="111" t="s">
        <v>97</v>
      </c>
      <c r="DH51" s="111" t="s">
        <v>97</v>
      </c>
      <c r="DI51" s="111" t="s">
        <v>97</v>
      </c>
      <c r="DJ51" s="111" t="s">
        <v>97</v>
      </c>
      <c r="DK51" s="111" t="s">
        <v>97</v>
      </c>
      <c r="DL51" s="111" t="s">
        <v>97</v>
      </c>
      <c r="DM51" s="111" t="s">
        <v>97</v>
      </c>
      <c r="DN51" s="111" t="s">
        <v>97</v>
      </c>
      <c r="DO51" s="111" t="s">
        <v>97</v>
      </c>
      <c r="DP51" s="112" t="s">
        <v>97</v>
      </c>
      <c r="DW51" s="112" t="s">
        <v>97</v>
      </c>
      <c r="DX51" s="112" t="s">
        <v>97</v>
      </c>
      <c r="DY51" s="112" t="s">
        <v>97</v>
      </c>
      <c r="DZ51" s="112" t="s">
        <v>97</v>
      </c>
    </row>
    <row r="52" spans="1:130" ht="15.75" outlineLevel="1" thickBot="1">
      <c r="A52" s="654"/>
      <c r="B52" s="87" t="str">
        <f t="shared" si="7"/>
        <v xml:space="preserve"> </v>
      </c>
      <c r="C52" s="87" t="str">
        <f t="shared" si="6"/>
        <v xml:space="preserve"> </v>
      </c>
      <c r="D52" s="87" t="str">
        <f t="shared" si="8"/>
        <v xml:space="preserve"> </v>
      </c>
      <c r="E52" s="179" t="str">
        <f t="shared" si="9"/>
        <v xml:space="preserve"> </v>
      </c>
      <c r="F52" s="645"/>
      <c r="G52" s="64" t="s">
        <v>97</v>
      </c>
      <c r="H52" s="173" t="s">
        <v>97</v>
      </c>
      <c r="I52" s="174" t="s">
        <v>97</v>
      </c>
      <c r="J52" s="174" t="s">
        <v>97</v>
      </c>
      <c r="K52" s="174" t="s">
        <v>97</v>
      </c>
      <c r="L52" s="174" t="s">
        <v>97</v>
      </c>
      <c r="M52" s="174" t="s">
        <v>97</v>
      </c>
      <c r="N52" s="174" t="s">
        <v>97</v>
      </c>
      <c r="O52" s="174" t="s">
        <v>97</v>
      </c>
      <c r="P52" s="174" t="s">
        <v>97</v>
      </c>
      <c r="Q52" s="174" t="s">
        <v>97</v>
      </c>
      <c r="R52" s="174" t="s">
        <v>97</v>
      </c>
      <c r="S52" s="174" t="s">
        <v>97</v>
      </c>
      <c r="T52" s="174" t="s">
        <v>97</v>
      </c>
      <c r="U52" s="174" t="s">
        <v>97</v>
      </c>
      <c r="V52" s="174" t="s">
        <v>97</v>
      </c>
      <c r="W52" s="174" t="s">
        <v>97</v>
      </c>
      <c r="X52" s="174" t="s">
        <v>97</v>
      </c>
      <c r="Y52" s="174" t="s">
        <v>97</v>
      </c>
      <c r="Z52" s="174" t="s">
        <v>97</v>
      </c>
      <c r="AA52" s="174" t="s">
        <v>97</v>
      </c>
      <c r="AB52" s="174" t="s">
        <v>97</v>
      </c>
      <c r="AC52" s="174" t="s">
        <v>97</v>
      </c>
      <c r="AD52" s="174" t="s">
        <v>97</v>
      </c>
      <c r="AE52" s="174" t="s">
        <v>97</v>
      </c>
      <c r="AF52" s="174" t="s">
        <v>97</v>
      </c>
      <c r="AG52" s="174" t="s">
        <v>97</v>
      </c>
      <c r="AH52" s="174" t="s">
        <v>97</v>
      </c>
      <c r="AI52" s="174" t="s">
        <v>97</v>
      </c>
      <c r="AJ52" s="174" t="s">
        <v>97</v>
      </c>
      <c r="AK52" s="174" t="s">
        <v>97</v>
      </c>
      <c r="AL52" s="174" t="s">
        <v>97</v>
      </c>
      <c r="AM52" s="174" t="s">
        <v>97</v>
      </c>
      <c r="AN52" s="174" t="s">
        <v>97</v>
      </c>
      <c r="AO52" s="174" t="s">
        <v>97</v>
      </c>
      <c r="AP52" s="174" t="s">
        <v>97</v>
      </c>
      <c r="AQ52" s="174" t="s">
        <v>97</v>
      </c>
      <c r="AR52" s="174" t="s">
        <v>97</v>
      </c>
      <c r="AS52" s="174" t="s">
        <v>97</v>
      </c>
      <c r="AT52" s="174" t="s">
        <v>97</v>
      </c>
      <c r="AU52" s="174" t="s">
        <v>97</v>
      </c>
      <c r="AV52" s="174" t="s">
        <v>97</v>
      </c>
      <c r="AW52" s="174" t="s">
        <v>97</v>
      </c>
      <c r="AX52" s="174" t="s">
        <v>97</v>
      </c>
      <c r="AY52" s="174" t="s">
        <v>97</v>
      </c>
      <c r="AZ52" s="174" t="s">
        <v>97</v>
      </c>
      <c r="BA52" s="174" t="s">
        <v>97</v>
      </c>
      <c r="BB52" s="174" t="s">
        <v>97</v>
      </c>
      <c r="BC52" s="174" t="s">
        <v>97</v>
      </c>
      <c r="BD52" s="174" t="s">
        <v>97</v>
      </c>
      <c r="BE52" s="174" t="s">
        <v>97</v>
      </c>
      <c r="BF52" s="174" t="s">
        <v>97</v>
      </c>
      <c r="BG52" s="174" t="s">
        <v>97</v>
      </c>
      <c r="BH52" s="174" t="s">
        <v>97</v>
      </c>
      <c r="BI52" s="174" t="s">
        <v>97</v>
      </c>
      <c r="BJ52" s="174" t="s">
        <v>97</v>
      </c>
      <c r="BK52" s="174" t="s">
        <v>97</v>
      </c>
      <c r="BL52" s="174" t="s">
        <v>97</v>
      </c>
      <c r="BM52" s="174" t="s">
        <v>97</v>
      </c>
      <c r="BN52" s="174" t="s">
        <v>97</v>
      </c>
      <c r="BO52" s="174" t="s">
        <v>97</v>
      </c>
      <c r="BP52" s="174" t="s">
        <v>97</v>
      </c>
      <c r="BQ52" s="174" t="s">
        <v>97</v>
      </c>
      <c r="BR52" s="174" t="s">
        <v>97</v>
      </c>
      <c r="BS52" s="174" t="s">
        <v>97</v>
      </c>
      <c r="BT52" s="174" t="s">
        <v>97</v>
      </c>
      <c r="BU52" s="174" t="s">
        <v>97</v>
      </c>
      <c r="BV52" s="174" t="s">
        <v>97</v>
      </c>
      <c r="BW52" s="174" t="s">
        <v>97</v>
      </c>
      <c r="BX52" s="174" t="s">
        <v>97</v>
      </c>
      <c r="BY52" s="174" t="s">
        <v>97</v>
      </c>
      <c r="BZ52" s="174" t="s">
        <v>97</v>
      </c>
      <c r="CA52" s="174" t="s">
        <v>97</v>
      </c>
      <c r="CB52" s="174" t="s">
        <v>97</v>
      </c>
      <c r="CC52" s="174" t="s">
        <v>97</v>
      </c>
      <c r="CD52" s="174" t="s">
        <v>97</v>
      </c>
      <c r="CE52" s="174" t="s">
        <v>97</v>
      </c>
      <c r="CF52" s="174" t="s">
        <v>97</v>
      </c>
      <c r="CG52" s="174" t="s">
        <v>97</v>
      </c>
      <c r="CH52" s="174" t="s">
        <v>97</v>
      </c>
      <c r="CI52" s="174" t="s">
        <v>97</v>
      </c>
      <c r="CJ52" s="174" t="s">
        <v>97</v>
      </c>
      <c r="CK52" s="174" t="s">
        <v>97</v>
      </c>
      <c r="CL52" s="174" t="s">
        <v>97</v>
      </c>
      <c r="CM52" s="174" t="s">
        <v>97</v>
      </c>
      <c r="CN52" s="174" t="s">
        <v>97</v>
      </c>
      <c r="CO52" s="174" t="s">
        <v>97</v>
      </c>
      <c r="CP52" s="174" t="s">
        <v>97</v>
      </c>
      <c r="CQ52" s="174" t="s">
        <v>97</v>
      </c>
      <c r="CR52" s="174" t="s">
        <v>97</v>
      </c>
      <c r="CS52" s="174" t="s">
        <v>97</v>
      </c>
      <c r="CT52" s="174" t="s">
        <v>97</v>
      </c>
      <c r="CU52" s="174" t="s">
        <v>97</v>
      </c>
      <c r="CV52" s="174" t="s">
        <v>97</v>
      </c>
      <c r="CW52" s="174" t="s">
        <v>97</v>
      </c>
      <c r="CX52" s="174" t="s">
        <v>97</v>
      </c>
      <c r="CY52" s="174" t="s">
        <v>97</v>
      </c>
      <c r="CZ52" s="174" t="s">
        <v>97</v>
      </c>
      <c r="DA52" s="174" t="s">
        <v>97</v>
      </c>
      <c r="DB52" s="174" t="s">
        <v>97</v>
      </c>
      <c r="DC52" s="174" t="s">
        <v>97</v>
      </c>
      <c r="DD52" s="174" t="s">
        <v>97</v>
      </c>
      <c r="DE52" s="175" t="s">
        <v>97</v>
      </c>
      <c r="DF52" s="175" t="s">
        <v>97</v>
      </c>
      <c r="DG52" s="175" t="s">
        <v>97</v>
      </c>
      <c r="DH52" s="175" t="s">
        <v>97</v>
      </c>
      <c r="DI52" s="175" t="s">
        <v>97</v>
      </c>
      <c r="DJ52" s="175" t="s">
        <v>97</v>
      </c>
      <c r="DK52" s="175" t="s">
        <v>97</v>
      </c>
      <c r="DL52" s="175" t="s">
        <v>97</v>
      </c>
      <c r="DM52" s="175" t="s">
        <v>97</v>
      </c>
      <c r="DN52" s="175" t="s">
        <v>97</v>
      </c>
      <c r="DO52" s="175" t="s">
        <v>97</v>
      </c>
      <c r="DP52" s="176" t="s">
        <v>97</v>
      </c>
      <c r="DW52" s="176" t="s">
        <v>97</v>
      </c>
      <c r="DX52" s="176" t="s">
        <v>97</v>
      </c>
      <c r="DY52" s="176" t="s">
        <v>97</v>
      </c>
      <c r="DZ52" s="176" t="s">
        <v>97</v>
      </c>
    </row>
    <row r="53" spans="1:130" s="109" customFormat="1" outlineLevel="1">
      <c r="A53" s="655" t="s">
        <v>2</v>
      </c>
      <c r="B53" s="83" t="str">
        <f t="shared" ca="1" si="7"/>
        <v>Guerrier né</v>
      </c>
      <c r="C53" s="83" t="str">
        <f t="shared" si="6"/>
        <v>Combat de rue</v>
      </c>
      <c r="D53" s="83" t="str">
        <f t="shared" si="8"/>
        <v>Dur en affaires</v>
      </c>
      <c r="E53" s="83" t="str">
        <f t="shared" si="9"/>
        <v xml:space="preserve">Code de la rue </v>
      </c>
      <c r="F53" s="646" t="s">
        <v>2</v>
      </c>
      <c r="G53" s="90" t="s">
        <v>97</v>
      </c>
      <c r="H53" s="146" t="s">
        <v>487</v>
      </c>
      <c r="I53" s="147" t="s">
        <v>81</v>
      </c>
      <c r="J53" s="147" t="s">
        <v>492</v>
      </c>
      <c r="K53" s="147" t="s">
        <v>633</v>
      </c>
      <c r="L53" s="147" t="s">
        <v>94</v>
      </c>
      <c r="M53" s="147" t="s">
        <v>486</v>
      </c>
      <c r="N53" s="147" t="s">
        <v>632</v>
      </c>
      <c r="O53" s="147" t="s">
        <v>486</v>
      </c>
      <c r="P53" s="147" t="s">
        <v>816</v>
      </c>
      <c r="Q53" s="147" t="s">
        <v>497</v>
      </c>
      <c r="R53" s="147" t="s">
        <v>495</v>
      </c>
      <c r="S53" s="147" t="s">
        <v>828</v>
      </c>
      <c r="T53" s="147" t="s">
        <v>499</v>
      </c>
      <c r="U53" s="147" t="s">
        <v>96</v>
      </c>
      <c r="V53" s="147" t="s">
        <v>490</v>
      </c>
      <c r="W53" s="147" t="s">
        <v>92</v>
      </c>
      <c r="X53" s="147" t="s">
        <v>87</v>
      </c>
      <c r="Y53" s="147" t="s">
        <v>505</v>
      </c>
      <c r="Z53" s="147" t="s">
        <v>494</v>
      </c>
      <c r="AA53" s="147" t="s">
        <v>486</v>
      </c>
      <c r="AB53" s="147" t="s">
        <v>96</v>
      </c>
      <c r="AC53" s="147" t="s">
        <v>94</v>
      </c>
      <c r="AD53" s="147" t="s">
        <v>483</v>
      </c>
      <c r="AE53" s="147" t="s">
        <v>766</v>
      </c>
      <c r="AF53" s="147" t="s">
        <v>740</v>
      </c>
      <c r="AG53" s="147" t="s">
        <v>489</v>
      </c>
      <c r="AH53" s="147" t="s">
        <v>486</v>
      </c>
      <c r="AI53" s="147" t="s">
        <v>485</v>
      </c>
      <c r="AJ53" s="147" t="s">
        <v>497</v>
      </c>
      <c r="AK53" s="147" t="s">
        <v>509</v>
      </c>
      <c r="AL53" s="147" t="s">
        <v>93</v>
      </c>
      <c r="AM53" s="147" t="s">
        <v>81</v>
      </c>
      <c r="AN53" s="147" t="s">
        <v>486</v>
      </c>
      <c r="AO53" s="147" t="s">
        <v>489</v>
      </c>
      <c r="AP53" s="147" t="s">
        <v>633</v>
      </c>
      <c r="AQ53" s="147" t="s">
        <v>486</v>
      </c>
      <c r="AR53" s="147" t="s">
        <v>92</v>
      </c>
      <c r="AS53" s="147" t="s">
        <v>94</v>
      </c>
      <c r="AT53" s="147" t="s">
        <v>494</v>
      </c>
      <c r="AU53" s="147" t="s">
        <v>740</v>
      </c>
      <c r="AV53" s="147" t="s">
        <v>633</v>
      </c>
      <c r="AW53" s="147" t="s">
        <v>498</v>
      </c>
      <c r="AX53" s="147" t="s">
        <v>89</v>
      </c>
      <c r="AY53" s="147" t="s">
        <v>496</v>
      </c>
      <c r="AZ53" s="147" t="s">
        <v>95</v>
      </c>
      <c r="BA53" s="147" t="s">
        <v>497</v>
      </c>
      <c r="BB53" s="147" t="s">
        <v>828</v>
      </c>
      <c r="BC53" s="147" t="s">
        <v>740</v>
      </c>
      <c r="BD53" s="147" t="s">
        <v>94</v>
      </c>
      <c r="BE53" s="147" t="s">
        <v>487</v>
      </c>
      <c r="BF53" s="147" t="s">
        <v>487</v>
      </c>
      <c r="BG53" s="147" t="s">
        <v>96</v>
      </c>
      <c r="BH53" s="147" t="s">
        <v>499</v>
      </c>
      <c r="BI53" s="147" t="s">
        <v>527</v>
      </c>
      <c r="BJ53" s="147" t="s">
        <v>493</v>
      </c>
      <c r="BK53" s="147" t="s">
        <v>492</v>
      </c>
      <c r="BL53" s="147" t="s">
        <v>94</v>
      </c>
      <c r="BM53" s="147" t="s">
        <v>822</v>
      </c>
      <c r="BN53" s="147" t="s">
        <v>492</v>
      </c>
      <c r="BO53" s="147" t="s">
        <v>95</v>
      </c>
      <c r="BP53" s="147" t="s">
        <v>527</v>
      </c>
      <c r="BQ53" s="151" t="s">
        <v>633</v>
      </c>
      <c r="BR53" s="147" t="s">
        <v>81</v>
      </c>
      <c r="BS53" s="151" t="s">
        <v>493</v>
      </c>
      <c r="BT53" s="147" t="s">
        <v>95</v>
      </c>
      <c r="BU53" s="147" t="s">
        <v>487</v>
      </c>
      <c r="BV53" s="147" t="s">
        <v>489</v>
      </c>
      <c r="BW53" s="147" t="s">
        <v>485</v>
      </c>
      <c r="BX53" s="147" t="s">
        <v>492</v>
      </c>
      <c r="BY53" s="147" t="s">
        <v>487</v>
      </c>
      <c r="BZ53" s="147" t="s">
        <v>94</v>
      </c>
      <c r="CA53" s="147" t="s">
        <v>497</v>
      </c>
      <c r="CB53" s="147" t="s">
        <v>740</v>
      </c>
      <c r="CC53" s="147" t="s">
        <v>80</v>
      </c>
      <c r="CD53" s="147" t="s">
        <v>497</v>
      </c>
      <c r="CE53" s="147" t="s">
        <v>484</v>
      </c>
      <c r="CF53" s="147" t="s">
        <v>520</v>
      </c>
      <c r="CG53" s="147" t="s">
        <v>89</v>
      </c>
      <c r="CH53" s="147" t="s">
        <v>487</v>
      </c>
      <c r="CI53" s="147" t="s">
        <v>487</v>
      </c>
      <c r="CJ53" s="147" t="s">
        <v>624</v>
      </c>
      <c r="CK53" s="147" t="s">
        <v>96</v>
      </c>
      <c r="CL53" s="147" t="s">
        <v>487</v>
      </c>
      <c r="CM53" s="147" t="s">
        <v>483</v>
      </c>
      <c r="CN53" s="147" t="s">
        <v>507</v>
      </c>
      <c r="CO53" s="147" t="s">
        <v>94</v>
      </c>
      <c r="CP53" s="147" t="s">
        <v>486</v>
      </c>
      <c r="CQ53" s="147" t="s">
        <v>87</v>
      </c>
      <c r="CR53" s="147" t="s">
        <v>489</v>
      </c>
      <c r="CS53" s="147" t="s">
        <v>740</v>
      </c>
      <c r="CT53" s="147" t="s">
        <v>486</v>
      </c>
      <c r="CU53" s="147" t="s">
        <v>486</v>
      </c>
      <c r="CV53" s="147" t="s">
        <v>483</v>
      </c>
      <c r="CW53" s="147" t="s">
        <v>95</v>
      </c>
      <c r="CX53" s="147" t="s">
        <v>95</v>
      </c>
      <c r="CY53" s="147" t="s">
        <v>740</v>
      </c>
      <c r="CZ53" s="147" t="s">
        <v>87</v>
      </c>
      <c r="DA53" s="147" t="s">
        <v>498</v>
      </c>
      <c r="DB53" s="147" t="s">
        <v>491</v>
      </c>
      <c r="DC53" s="147" t="s">
        <v>96</v>
      </c>
      <c r="DD53" s="147" t="s">
        <v>487</v>
      </c>
      <c r="DE53" s="148" t="s">
        <v>93</v>
      </c>
      <c r="DF53" s="148" t="s">
        <v>94</v>
      </c>
      <c r="DG53" s="148" t="s">
        <v>501</v>
      </c>
      <c r="DH53" s="148" t="s">
        <v>487</v>
      </c>
      <c r="DI53" s="148" t="s">
        <v>486</v>
      </c>
      <c r="DJ53" s="148" t="s">
        <v>766</v>
      </c>
      <c r="DK53" s="148" t="s">
        <v>527</v>
      </c>
      <c r="DL53" s="148" t="s">
        <v>487</v>
      </c>
      <c r="DM53" s="148" t="s">
        <v>96</v>
      </c>
      <c r="DN53" s="148" t="s">
        <v>633</v>
      </c>
      <c r="DO53" s="148" t="s">
        <v>527</v>
      </c>
      <c r="DP53" s="149" t="s">
        <v>95</v>
      </c>
      <c r="DW53" s="217" t="s">
        <v>628</v>
      </c>
      <c r="DX53" s="149" t="s">
        <v>625</v>
      </c>
      <c r="DY53" s="218" t="str">
        <f ca="1">INDIRECT("Liste!m"&amp;RANDBETWEEN(3,25))</f>
        <v>Guerrier né</v>
      </c>
      <c r="DZ53" s="149" t="s">
        <v>618</v>
      </c>
    </row>
    <row r="54" spans="1:130" s="5" customFormat="1" outlineLevel="1">
      <c r="A54" s="656"/>
      <c r="B54" s="84" t="str">
        <f t="shared" ca="1" si="7"/>
        <v xml:space="preserve">Résistance accrue </v>
      </c>
      <c r="C54" s="84" t="str">
        <f t="shared" si="6"/>
        <v>Dur à cuir</v>
      </c>
      <c r="D54" s="84" t="str">
        <f t="shared" si="8"/>
        <v>Grand voyageur</v>
      </c>
      <c r="E54" s="84" t="str">
        <f t="shared" si="9"/>
        <v xml:space="preserve">Sang froid </v>
      </c>
      <c r="F54" s="647"/>
      <c r="G54" s="64" t="s">
        <v>97</v>
      </c>
      <c r="H54" s="150" t="s">
        <v>519</v>
      </c>
      <c r="I54" s="151" t="s">
        <v>79</v>
      </c>
      <c r="J54" s="151" t="s">
        <v>504</v>
      </c>
      <c r="K54" s="151" t="s">
        <v>517</v>
      </c>
      <c r="L54" s="151" t="s">
        <v>486</v>
      </c>
      <c r="M54" s="151" t="s">
        <v>487</v>
      </c>
      <c r="N54" s="151" t="s">
        <v>94</v>
      </c>
      <c r="O54" s="151" t="s">
        <v>633</v>
      </c>
      <c r="P54" s="151" t="s">
        <v>97</v>
      </c>
      <c r="Q54" s="151" t="s">
        <v>520</v>
      </c>
      <c r="R54" s="151" t="s">
        <v>505</v>
      </c>
      <c r="S54" s="151" t="s">
        <v>517</v>
      </c>
      <c r="T54" s="151" t="s">
        <v>508</v>
      </c>
      <c r="U54" s="151" t="s">
        <v>87</v>
      </c>
      <c r="V54" s="151" t="s">
        <v>515</v>
      </c>
      <c r="W54" s="151" t="s">
        <v>766</v>
      </c>
      <c r="X54" s="151" t="s">
        <v>509</v>
      </c>
      <c r="Y54" s="151" t="s">
        <v>504</v>
      </c>
      <c r="Z54" s="151" t="s">
        <v>517</v>
      </c>
      <c r="AA54" s="151" t="s">
        <v>518</v>
      </c>
      <c r="AB54" s="151" t="s">
        <v>91</v>
      </c>
      <c r="AC54" s="151" t="s">
        <v>740</v>
      </c>
      <c r="AD54" s="151" t="s">
        <v>527</v>
      </c>
      <c r="AE54" s="151" t="s">
        <v>521</v>
      </c>
      <c r="AF54" s="151" t="s">
        <v>502</v>
      </c>
      <c r="AG54" s="151" t="s">
        <v>527</v>
      </c>
      <c r="AH54" s="151" t="s">
        <v>519</v>
      </c>
      <c r="AI54" s="151" t="s">
        <v>517</v>
      </c>
      <c r="AJ54" s="151" t="s">
        <v>515</v>
      </c>
      <c r="AK54" s="151" t="s">
        <v>91</v>
      </c>
      <c r="AL54" s="151" t="s">
        <v>519</v>
      </c>
      <c r="AM54" s="151" t="s">
        <v>784</v>
      </c>
      <c r="AN54" s="151" t="s">
        <v>633</v>
      </c>
      <c r="AO54" s="151" t="s">
        <v>527</v>
      </c>
      <c r="AP54" s="151" t="s">
        <v>493</v>
      </c>
      <c r="AQ54" s="151" t="s">
        <v>493</v>
      </c>
      <c r="AR54" s="151" t="s">
        <v>509</v>
      </c>
      <c r="AS54" s="151" t="s">
        <v>629</v>
      </c>
      <c r="AT54" s="151" t="s">
        <v>519</v>
      </c>
      <c r="AU54" s="151" t="s">
        <v>493</v>
      </c>
      <c r="AV54" s="151" t="s">
        <v>497</v>
      </c>
      <c r="AW54" s="151" t="s">
        <v>97</v>
      </c>
      <c r="AX54" s="151" t="s">
        <v>88</v>
      </c>
      <c r="AY54" s="151" t="s">
        <v>518</v>
      </c>
      <c r="AZ54" s="151" t="s">
        <v>497</v>
      </c>
      <c r="BA54" s="151" t="s">
        <v>498</v>
      </c>
      <c r="BB54" s="151" t="s">
        <v>514</v>
      </c>
      <c r="BC54" s="151" t="s">
        <v>508</v>
      </c>
      <c r="BD54" s="151" t="s">
        <v>507</v>
      </c>
      <c r="BE54" s="151" t="s">
        <v>490</v>
      </c>
      <c r="BF54" s="151" t="s">
        <v>489</v>
      </c>
      <c r="BG54" s="151" t="s">
        <v>91</v>
      </c>
      <c r="BH54" s="151" t="s">
        <v>506</v>
      </c>
      <c r="BI54" s="151" t="s">
        <v>740</v>
      </c>
      <c r="BJ54" s="151" t="s">
        <v>81</v>
      </c>
      <c r="BK54" s="151" t="s">
        <v>493</v>
      </c>
      <c r="BL54" s="151" t="s">
        <v>740</v>
      </c>
      <c r="BM54" s="151" t="s">
        <v>624</v>
      </c>
      <c r="BN54" s="151" t="s">
        <v>494</v>
      </c>
      <c r="BO54" s="151" t="s">
        <v>492</v>
      </c>
      <c r="BP54" s="151" t="s">
        <v>505</v>
      </c>
      <c r="BQ54" s="151" t="s">
        <v>493</v>
      </c>
      <c r="BR54" s="151" t="s">
        <v>785</v>
      </c>
      <c r="BS54" s="151" t="s">
        <v>863</v>
      </c>
      <c r="BT54" s="151" t="s">
        <v>486</v>
      </c>
      <c r="BU54" s="151" t="s">
        <v>828</v>
      </c>
      <c r="BV54" s="151" t="s">
        <v>740</v>
      </c>
      <c r="BW54" s="151" t="s">
        <v>489</v>
      </c>
      <c r="BX54" s="151" t="s">
        <v>493</v>
      </c>
      <c r="BY54" s="151" t="s">
        <v>828</v>
      </c>
      <c r="BZ54" s="151" t="s">
        <v>489</v>
      </c>
      <c r="CA54" s="151" t="s">
        <v>520</v>
      </c>
      <c r="CB54" s="151" t="s">
        <v>505</v>
      </c>
      <c r="CC54" s="151" t="s">
        <v>510</v>
      </c>
      <c r="CD54" s="151" t="s">
        <v>97</v>
      </c>
      <c r="CE54" s="151" t="s">
        <v>486</v>
      </c>
      <c r="CF54" s="151" t="s">
        <v>97</v>
      </c>
      <c r="CG54" s="151" t="s">
        <v>492</v>
      </c>
      <c r="CH54" s="151" t="s">
        <v>497</v>
      </c>
      <c r="CI54" s="151" t="s">
        <v>624</v>
      </c>
      <c r="CJ54" s="151" t="s">
        <v>521</v>
      </c>
      <c r="CK54" s="151" t="s">
        <v>491</v>
      </c>
      <c r="CL54" s="151" t="s">
        <v>491</v>
      </c>
      <c r="CM54" s="151" t="s">
        <v>89</v>
      </c>
      <c r="CN54" s="151" t="s">
        <v>791</v>
      </c>
      <c r="CO54" s="151" t="s">
        <v>740</v>
      </c>
      <c r="CP54" s="151" t="s">
        <v>633</v>
      </c>
      <c r="CQ54" s="151" t="s">
        <v>494</v>
      </c>
      <c r="CR54" s="151" t="s">
        <v>527</v>
      </c>
      <c r="CS54" s="151" t="s">
        <v>497</v>
      </c>
      <c r="CT54" s="151" t="s">
        <v>487</v>
      </c>
      <c r="CU54" s="151" t="s">
        <v>487</v>
      </c>
      <c r="CV54" s="151" t="s">
        <v>625</v>
      </c>
      <c r="CW54" s="151" t="s">
        <v>486</v>
      </c>
      <c r="CX54" s="151" t="s">
        <v>493</v>
      </c>
      <c r="CY54" s="151" t="s">
        <v>492</v>
      </c>
      <c r="CZ54" s="151" t="s">
        <v>491</v>
      </c>
      <c r="DA54" s="151" t="s">
        <v>97</v>
      </c>
      <c r="DB54" s="151" t="s">
        <v>79</v>
      </c>
      <c r="DC54" s="151" t="s">
        <v>515</v>
      </c>
      <c r="DD54" s="151" t="s">
        <v>499</v>
      </c>
      <c r="DE54" s="152" t="s">
        <v>496</v>
      </c>
      <c r="DF54" s="152" t="s">
        <v>489</v>
      </c>
      <c r="DG54" s="152" t="s">
        <v>97</v>
      </c>
      <c r="DH54" s="152" t="s">
        <v>489</v>
      </c>
      <c r="DI54" s="152" t="s">
        <v>513</v>
      </c>
      <c r="DJ54" s="152" t="s">
        <v>767</v>
      </c>
      <c r="DK54" s="152" t="s">
        <v>508</v>
      </c>
      <c r="DL54" s="152" t="s">
        <v>740</v>
      </c>
      <c r="DM54" s="152" t="s">
        <v>87</v>
      </c>
      <c r="DN54" s="152" t="s">
        <v>497</v>
      </c>
      <c r="DO54" s="152" t="s">
        <v>521</v>
      </c>
      <c r="DP54" s="153" t="s">
        <v>488</v>
      </c>
      <c r="DW54" s="219" t="s">
        <v>616</v>
      </c>
      <c r="DX54" s="153" t="s">
        <v>623</v>
      </c>
      <c r="DY54" s="196" t="str">
        <f ca="1">INDIRECT("Liste!m"&amp;RANDBETWEEN(3,25))</f>
        <v xml:space="preserve">Résistance accrue </v>
      </c>
      <c r="DZ54" s="153" t="s">
        <v>619</v>
      </c>
    </row>
    <row r="55" spans="1:130" s="5" customFormat="1" outlineLevel="1">
      <c r="A55" s="656"/>
      <c r="B55" s="84" t="str">
        <f t="shared" si="7"/>
        <v xml:space="preserve"> </v>
      </c>
      <c r="C55" s="84" t="str">
        <f t="shared" si="6"/>
        <v>Combat virevoltant</v>
      </c>
      <c r="D55" s="84" t="str">
        <f t="shared" si="8"/>
        <v>Etiquette</v>
      </c>
      <c r="E55" s="84" t="str">
        <f t="shared" si="9"/>
        <v>Dur à cuir</v>
      </c>
      <c r="F55" s="647"/>
      <c r="G55" s="64" t="s">
        <v>97</v>
      </c>
      <c r="H55" s="150" t="s">
        <v>492</v>
      </c>
      <c r="I55" s="151" t="s">
        <v>517</v>
      </c>
      <c r="J55" s="151" t="s">
        <v>813</v>
      </c>
      <c r="K55" s="151" t="s">
        <v>97</v>
      </c>
      <c r="L55" s="151" t="s">
        <v>487</v>
      </c>
      <c r="M55" s="151" t="s">
        <v>489</v>
      </c>
      <c r="N55" s="151" t="s">
        <v>629</v>
      </c>
      <c r="O55" s="151" t="s">
        <v>518</v>
      </c>
      <c r="P55" s="151" t="s">
        <v>97</v>
      </c>
      <c r="Q55" s="151" t="s">
        <v>97</v>
      </c>
      <c r="R55" s="151" t="s">
        <v>634</v>
      </c>
      <c r="S55" s="151" t="s">
        <v>514</v>
      </c>
      <c r="T55" s="151" t="s">
        <v>634</v>
      </c>
      <c r="U55" s="151" t="s">
        <v>510</v>
      </c>
      <c r="V55" s="151" t="s">
        <v>502</v>
      </c>
      <c r="W55" s="151" t="s">
        <v>740</v>
      </c>
      <c r="X55" s="151" t="s">
        <v>499</v>
      </c>
      <c r="Y55" s="151" t="s">
        <v>503</v>
      </c>
      <c r="Z55" s="151" t="s">
        <v>496</v>
      </c>
      <c r="AA55" s="151" t="s">
        <v>492</v>
      </c>
      <c r="AB55" s="151" t="s">
        <v>828</v>
      </c>
      <c r="AC55" s="151" t="s">
        <v>96</v>
      </c>
      <c r="AD55" s="151" t="s">
        <v>740</v>
      </c>
      <c r="AE55" s="151" t="s">
        <v>515</v>
      </c>
      <c r="AF55" s="151" t="s">
        <v>505</v>
      </c>
      <c r="AG55" s="151" t="s">
        <v>493</v>
      </c>
      <c r="AH55" s="151" t="s">
        <v>828</v>
      </c>
      <c r="AI55" s="151" t="s">
        <v>511</v>
      </c>
      <c r="AJ55" s="151" t="s">
        <v>624</v>
      </c>
      <c r="AK55" s="151" t="s">
        <v>97</v>
      </c>
      <c r="AL55" s="151" t="s">
        <v>740</v>
      </c>
      <c r="AM55" s="151" t="s">
        <v>783</v>
      </c>
      <c r="AN55" s="151" t="s">
        <v>97</v>
      </c>
      <c r="AO55" s="151" t="s">
        <v>499</v>
      </c>
      <c r="AP55" s="151" t="s">
        <v>492</v>
      </c>
      <c r="AQ55" s="151" t="s">
        <v>487</v>
      </c>
      <c r="AR55" s="151" t="s">
        <v>527</v>
      </c>
      <c r="AS55" s="151" t="s">
        <v>490</v>
      </c>
      <c r="AT55" s="151" t="s">
        <v>506</v>
      </c>
      <c r="AU55" s="151" t="s">
        <v>502</v>
      </c>
      <c r="AV55" s="151" t="s">
        <v>97</v>
      </c>
      <c r="AW55" s="151" t="s">
        <v>97</v>
      </c>
      <c r="AX55" s="151" t="s">
        <v>486</v>
      </c>
      <c r="AY55" s="151" t="s">
        <v>498</v>
      </c>
      <c r="AZ55" s="151" t="s">
        <v>493</v>
      </c>
      <c r="BA55" s="151" t="s">
        <v>520</v>
      </c>
      <c r="BB55" s="151" t="s">
        <v>492</v>
      </c>
      <c r="BC55" s="151" t="s">
        <v>505</v>
      </c>
      <c r="BD55" s="151" t="s">
        <v>792</v>
      </c>
      <c r="BE55" s="151" t="s">
        <v>489</v>
      </c>
      <c r="BF55" s="151" t="s">
        <v>490</v>
      </c>
      <c r="BG55" s="151" t="s">
        <v>80</v>
      </c>
      <c r="BH55" s="151" t="s">
        <v>511</v>
      </c>
      <c r="BI55" s="151" t="s">
        <v>490</v>
      </c>
      <c r="BJ55" s="151" t="s">
        <v>785</v>
      </c>
      <c r="BK55" s="151" t="s">
        <v>813</v>
      </c>
      <c r="BL55" s="151" t="s">
        <v>96</v>
      </c>
      <c r="BM55" s="151" t="s">
        <v>869</v>
      </c>
      <c r="BN55" s="151" t="s">
        <v>509</v>
      </c>
      <c r="BO55" s="151" t="s">
        <v>97</v>
      </c>
      <c r="BP55" s="151" t="s">
        <v>97</v>
      </c>
      <c r="BQ55" s="151" t="s">
        <v>498</v>
      </c>
      <c r="BR55" s="151" t="s">
        <v>783</v>
      </c>
      <c r="BS55" s="151" t="s">
        <v>97</v>
      </c>
      <c r="BT55" s="151" t="s">
        <v>633</v>
      </c>
      <c r="BU55" s="151" t="s">
        <v>92</v>
      </c>
      <c r="BV55" s="151" t="s">
        <v>490</v>
      </c>
      <c r="BW55" s="151" t="s">
        <v>511</v>
      </c>
      <c r="BX55" s="151" t="s">
        <v>97</v>
      </c>
      <c r="BY55" s="151" t="s">
        <v>633</v>
      </c>
      <c r="BZ55" s="151" t="s">
        <v>740</v>
      </c>
      <c r="CA55" s="151" t="s">
        <v>97</v>
      </c>
      <c r="CB55" s="151" t="s">
        <v>521</v>
      </c>
      <c r="CC55" s="151" t="s">
        <v>505</v>
      </c>
      <c r="CD55" s="151" t="s">
        <v>97</v>
      </c>
      <c r="CE55" s="151" t="s">
        <v>487</v>
      </c>
      <c r="CF55" s="151" t="s">
        <v>97</v>
      </c>
      <c r="CG55" s="151" t="s">
        <v>493</v>
      </c>
      <c r="CH55" s="151" t="s">
        <v>511</v>
      </c>
      <c r="CI55" s="151" t="s">
        <v>514</v>
      </c>
      <c r="CJ55" s="151" t="s">
        <v>515</v>
      </c>
      <c r="CK55" s="151" t="s">
        <v>496</v>
      </c>
      <c r="CL55" s="151" t="s">
        <v>520</v>
      </c>
      <c r="CM55" s="151" t="s">
        <v>488</v>
      </c>
      <c r="CN55" s="151" t="s">
        <v>521</v>
      </c>
      <c r="CO55" s="151" t="s">
        <v>822</v>
      </c>
      <c r="CP55" s="151" t="s">
        <v>492</v>
      </c>
      <c r="CQ55" s="151" t="s">
        <v>496</v>
      </c>
      <c r="CR55" s="151" t="s">
        <v>811</v>
      </c>
      <c r="CS55" s="151" t="s">
        <v>81</v>
      </c>
      <c r="CT55" s="151" t="s">
        <v>92</v>
      </c>
      <c r="CU55" s="151" t="s">
        <v>489</v>
      </c>
      <c r="CV55" s="151" t="s">
        <v>511</v>
      </c>
      <c r="CW55" s="151" t="s">
        <v>489</v>
      </c>
      <c r="CX55" s="151" t="s">
        <v>492</v>
      </c>
      <c r="CY55" s="151" t="s">
        <v>791</v>
      </c>
      <c r="CZ55" s="151" t="s">
        <v>766</v>
      </c>
      <c r="DA55" s="151" t="s">
        <v>97</v>
      </c>
      <c r="DB55" s="151" t="s">
        <v>81</v>
      </c>
      <c r="DC55" s="151" t="s">
        <v>87</v>
      </c>
      <c r="DD55" s="151" t="s">
        <v>740</v>
      </c>
      <c r="DE55" s="152" t="s">
        <v>491</v>
      </c>
      <c r="DF55" s="152" t="s">
        <v>527</v>
      </c>
      <c r="DG55" s="152" t="s">
        <v>97</v>
      </c>
      <c r="DH55" s="152" t="s">
        <v>527</v>
      </c>
      <c r="DI55" s="152" t="s">
        <v>496</v>
      </c>
      <c r="DJ55" s="152" t="s">
        <v>97</v>
      </c>
      <c r="DK55" s="152" t="s">
        <v>512</v>
      </c>
      <c r="DL55" s="152" t="s">
        <v>490</v>
      </c>
      <c r="DM55" s="152" t="s">
        <v>497</v>
      </c>
      <c r="DN55" s="152" t="s">
        <v>493</v>
      </c>
      <c r="DO55" s="152" t="s">
        <v>740</v>
      </c>
      <c r="DP55" s="153" t="s">
        <v>484</v>
      </c>
      <c r="DW55" s="219" t="s">
        <v>617</v>
      </c>
      <c r="DX55" s="153" t="s">
        <v>622</v>
      </c>
      <c r="DY55" s="153" t="s">
        <v>97</v>
      </c>
      <c r="DZ55" s="153" t="s">
        <v>620</v>
      </c>
    </row>
    <row r="56" spans="1:130" s="5" customFormat="1" outlineLevel="1">
      <c r="A56" s="656"/>
      <c r="B56" s="84" t="str">
        <f t="shared" si="7"/>
        <v xml:space="preserve"> </v>
      </c>
      <c r="C56" s="84" t="str">
        <f t="shared" si="6"/>
        <v xml:space="preserve">Coup puissant </v>
      </c>
      <c r="D56" s="84" t="str">
        <f t="shared" si="8"/>
        <v xml:space="preserve">Sang froid </v>
      </c>
      <c r="E56" s="84" t="str">
        <f t="shared" si="9"/>
        <v>Résistance aux maladies</v>
      </c>
      <c r="F56" s="647"/>
      <c r="G56" s="64" t="s">
        <v>97</v>
      </c>
      <c r="H56" s="150" t="s">
        <v>496</v>
      </c>
      <c r="I56" s="151" t="s">
        <v>510</v>
      </c>
      <c r="J56" s="151" t="s">
        <v>97</v>
      </c>
      <c r="K56" s="151" t="s">
        <v>97</v>
      </c>
      <c r="L56" s="151" t="s">
        <v>92</v>
      </c>
      <c r="M56" s="151" t="s">
        <v>633</v>
      </c>
      <c r="N56" s="151" t="s">
        <v>92</v>
      </c>
      <c r="O56" s="151" t="s">
        <v>492</v>
      </c>
      <c r="P56" s="151" t="s">
        <v>97</v>
      </c>
      <c r="Q56" s="151" t="s">
        <v>97</v>
      </c>
      <c r="R56" s="151" t="s">
        <v>515</v>
      </c>
      <c r="S56" s="151" t="s">
        <v>97</v>
      </c>
      <c r="T56" s="151" t="s">
        <v>97</v>
      </c>
      <c r="U56" s="151" t="s">
        <v>505</v>
      </c>
      <c r="V56" s="151" t="s">
        <v>505</v>
      </c>
      <c r="W56" s="151" t="s">
        <v>490</v>
      </c>
      <c r="X56" s="151" t="s">
        <v>822</v>
      </c>
      <c r="Y56" s="151" t="s">
        <v>508</v>
      </c>
      <c r="Z56" s="151" t="s">
        <v>97</v>
      </c>
      <c r="AA56" s="151" t="s">
        <v>496</v>
      </c>
      <c r="AB56" s="151" t="s">
        <v>507</v>
      </c>
      <c r="AC56" s="151" t="s">
        <v>489</v>
      </c>
      <c r="AD56" s="151" t="s">
        <v>791</v>
      </c>
      <c r="AE56" s="151" t="s">
        <v>789</v>
      </c>
      <c r="AF56" s="151" t="s">
        <v>508</v>
      </c>
      <c r="AG56" s="151" t="s">
        <v>497</v>
      </c>
      <c r="AH56" s="151" t="s">
        <v>511</v>
      </c>
      <c r="AI56" s="151" t="s">
        <v>510</v>
      </c>
      <c r="AJ56" s="151" t="s">
        <v>97</v>
      </c>
      <c r="AK56" s="151" t="s">
        <v>97</v>
      </c>
      <c r="AL56" s="151" t="s">
        <v>489</v>
      </c>
      <c r="AM56" s="151" t="s">
        <v>79</v>
      </c>
      <c r="AN56" s="151" t="s">
        <v>97</v>
      </c>
      <c r="AO56" s="151" t="s">
        <v>490</v>
      </c>
      <c r="AP56" s="151" t="s">
        <v>517</v>
      </c>
      <c r="AQ56" s="151" t="s">
        <v>492</v>
      </c>
      <c r="AR56" s="151" t="s">
        <v>740</v>
      </c>
      <c r="AS56" s="151" t="s">
        <v>92</v>
      </c>
      <c r="AT56" s="151" t="s">
        <v>520</v>
      </c>
      <c r="AU56" s="151" t="s">
        <v>97</v>
      </c>
      <c r="AV56" s="151" t="s">
        <v>97</v>
      </c>
      <c r="AW56" s="151" t="s">
        <v>97</v>
      </c>
      <c r="AX56" s="151" t="s">
        <v>496</v>
      </c>
      <c r="AY56" s="151" t="s">
        <v>88</v>
      </c>
      <c r="AZ56" s="151" t="s">
        <v>498</v>
      </c>
      <c r="BA56" s="151" t="s">
        <v>97</v>
      </c>
      <c r="BB56" s="151" t="s">
        <v>494</v>
      </c>
      <c r="BC56" s="151" t="s">
        <v>763</v>
      </c>
      <c r="BD56" s="151" t="s">
        <v>791</v>
      </c>
      <c r="BE56" s="151" t="s">
        <v>740</v>
      </c>
      <c r="BF56" s="151" t="s">
        <v>494</v>
      </c>
      <c r="BG56" s="151" t="s">
        <v>521</v>
      </c>
      <c r="BH56" s="151" t="s">
        <v>512</v>
      </c>
      <c r="BI56" s="151" t="s">
        <v>494</v>
      </c>
      <c r="BJ56" s="151" t="s">
        <v>811</v>
      </c>
      <c r="BK56" s="151" t="s">
        <v>97</v>
      </c>
      <c r="BL56" s="151" t="s">
        <v>486</v>
      </c>
      <c r="BM56" s="151" t="s">
        <v>97</v>
      </c>
      <c r="BN56" s="151" t="s">
        <v>80</v>
      </c>
      <c r="BO56" s="151" t="s">
        <v>97</v>
      </c>
      <c r="BP56" s="151" t="s">
        <v>97</v>
      </c>
      <c r="BQ56" s="151" t="s">
        <v>97</v>
      </c>
      <c r="BR56" s="151" t="s">
        <v>784</v>
      </c>
      <c r="BS56" s="151" t="s">
        <v>97</v>
      </c>
      <c r="BT56" s="151" t="s">
        <v>97</v>
      </c>
      <c r="BU56" s="151" t="s">
        <v>740</v>
      </c>
      <c r="BV56" s="151" t="s">
        <v>515</v>
      </c>
      <c r="BW56" s="151" t="s">
        <v>97</v>
      </c>
      <c r="BX56" s="151" t="s">
        <v>97</v>
      </c>
      <c r="BY56" s="151" t="s">
        <v>496</v>
      </c>
      <c r="BZ56" s="151" t="s">
        <v>490</v>
      </c>
      <c r="CA56" s="151" t="s">
        <v>97</v>
      </c>
      <c r="CB56" s="151" t="s">
        <v>97</v>
      </c>
      <c r="CC56" s="151" t="s">
        <v>520</v>
      </c>
      <c r="CD56" s="151" t="s">
        <v>97</v>
      </c>
      <c r="CE56" s="151" t="s">
        <v>488</v>
      </c>
      <c r="CF56" s="151" t="s">
        <v>97</v>
      </c>
      <c r="CG56" s="151" t="s">
        <v>517</v>
      </c>
      <c r="CH56" s="151" t="s">
        <v>97</v>
      </c>
      <c r="CI56" s="151" t="s">
        <v>91</v>
      </c>
      <c r="CJ56" s="151" t="s">
        <v>97</v>
      </c>
      <c r="CK56" s="151" t="s">
        <v>625</v>
      </c>
      <c r="CL56" s="151" t="s">
        <v>97</v>
      </c>
      <c r="CM56" s="151" t="s">
        <v>88</v>
      </c>
      <c r="CN56" s="151" t="s">
        <v>520</v>
      </c>
      <c r="CO56" s="151" t="s">
        <v>624</v>
      </c>
      <c r="CP56" s="151" t="s">
        <v>493</v>
      </c>
      <c r="CQ56" s="151" t="s">
        <v>521</v>
      </c>
      <c r="CR56" s="151" t="s">
        <v>814</v>
      </c>
      <c r="CS56" s="151" t="s">
        <v>811</v>
      </c>
      <c r="CT56" s="151" t="s">
        <v>488</v>
      </c>
      <c r="CU56" s="151" t="s">
        <v>740</v>
      </c>
      <c r="CV56" s="151" t="s">
        <v>512</v>
      </c>
      <c r="CW56" s="151" t="s">
        <v>633</v>
      </c>
      <c r="CX56" s="151" t="s">
        <v>97</v>
      </c>
      <c r="CY56" s="151" t="s">
        <v>792</v>
      </c>
      <c r="CZ56" s="151" t="s">
        <v>521</v>
      </c>
      <c r="DA56" s="151" t="s">
        <v>97</v>
      </c>
      <c r="DB56" s="151" t="s">
        <v>782</v>
      </c>
      <c r="DC56" s="151" t="s">
        <v>517</v>
      </c>
      <c r="DD56" s="151" t="s">
        <v>497</v>
      </c>
      <c r="DE56" s="152" t="s">
        <v>493</v>
      </c>
      <c r="DF56" s="152" t="s">
        <v>740</v>
      </c>
      <c r="DG56" s="152" t="s">
        <v>97</v>
      </c>
      <c r="DH56" s="152" t="s">
        <v>740</v>
      </c>
      <c r="DI56" s="152" t="s">
        <v>511</v>
      </c>
      <c r="DJ56" s="152" t="s">
        <v>97</v>
      </c>
      <c r="DK56" s="152" t="s">
        <v>763</v>
      </c>
      <c r="DL56" s="152" t="s">
        <v>515</v>
      </c>
      <c r="DM56" s="152" t="s">
        <v>520</v>
      </c>
      <c r="DN56" s="152" t="s">
        <v>519</v>
      </c>
      <c r="DO56" s="152" t="s">
        <v>90</v>
      </c>
      <c r="DP56" s="153" t="s">
        <v>486</v>
      </c>
      <c r="DW56" s="219" t="s">
        <v>622</v>
      </c>
      <c r="DX56" s="153" t="str">
        <f ca="1">INDIRECT("Liste!l"&amp;RANDBETWEEN(3,24))</f>
        <v>Adresse au tir</v>
      </c>
      <c r="DY56" s="153" t="s">
        <v>97</v>
      </c>
      <c r="DZ56" s="153" t="s">
        <v>631</v>
      </c>
    </row>
    <row r="57" spans="1:130" s="5" customFormat="1" outlineLevel="1">
      <c r="A57" s="656"/>
      <c r="B57" s="84" t="str">
        <f t="shared" si="7"/>
        <v xml:space="preserve"> </v>
      </c>
      <c r="C57" s="84" t="str">
        <f t="shared" si="6"/>
        <v>Grand voyageur</v>
      </c>
      <c r="D57" s="84" t="str">
        <f t="shared" si="8"/>
        <v xml:space="preserve">Sociable </v>
      </c>
      <c r="E57" s="84" t="str">
        <f t="shared" si="9"/>
        <v xml:space="preserve"> </v>
      </c>
      <c r="F57" s="647"/>
      <c r="G57" s="64" t="s">
        <v>97</v>
      </c>
      <c r="H57" s="154" t="s">
        <v>97</v>
      </c>
      <c r="I57" s="151" t="s">
        <v>500</v>
      </c>
      <c r="J57" s="151" t="s">
        <v>97</v>
      </c>
      <c r="K57" s="151" t="s">
        <v>97</v>
      </c>
      <c r="L57" s="151" t="s">
        <v>792</v>
      </c>
      <c r="M57" s="151" t="s">
        <v>493</v>
      </c>
      <c r="N57" s="151" t="s">
        <v>493</v>
      </c>
      <c r="O57" s="151" t="s">
        <v>791</v>
      </c>
      <c r="P57" s="151" t="s">
        <v>97</v>
      </c>
      <c r="Q57" s="151" t="s">
        <v>97</v>
      </c>
      <c r="R57" s="151" t="s">
        <v>97</v>
      </c>
      <c r="S57" s="151" t="s">
        <v>97</v>
      </c>
      <c r="T57" s="151" t="s">
        <v>97</v>
      </c>
      <c r="U57" s="151" t="s">
        <v>97</v>
      </c>
      <c r="V57" s="151" t="s">
        <v>503</v>
      </c>
      <c r="W57" s="151" t="s">
        <v>497</v>
      </c>
      <c r="X57" s="151" t="s">
        <v>910</v>
      </c>
      <c r="Y57" s="151" t="s">
        <v>766</v>
      </c>
      <c r="Z57" s="151" t="s">
        <v>97</v>
      </c>
      <c r="AA57" s="151" t="s">
        <v>497</v>
      </c>
      <c r="AB57" s="151" t="s">
        <v>521</v>
      </c>
      <c r="AC57" s="151" t="s">
        <v>91</v>
      </c>
      <c r="AD57" s="151" t="s">
        <v>521</v>
      </c>
      <c r="AE57" s="151" t="s">
        <v>90</v>
      </c>
      <c r="AF57" s="151" t="s">
        <v>97</v>
      </c>
      <c r="AG57" s="151" t="s">
        <v>504</v>
      </c>
      <c r="AH57" s="151" t="s">
        <v>97</v>
      </c>
      <c r="AI57" s="151" t="s">
        <v>514</v>
      </c>
      <c r="AJ57" s="151" t="s">
        <v>97</v>
      </c>
      <c r="AK57" s="151" t="s">
        <v>97</v>
      </c>
      <c r="AL57" s="151" t="s">
        <v>527</v>
      </c>
      <c r="AM57" s="151" t="s">
        <v>510</v>
      </c>
      <c r="AN57" s="151" t="s">
        <v>97</v>
      </c>
      <c r="AO57" s="151" t="s">
        <v>509</v>
      </c>
      <c r="AP57" s="151" t="s">
        <v>514</v>
      </c>
      <c r="AQ57" s="151" t="s">
        <v>813</v>
      </c>
      <c r="AR57" s="151" t="s">
        <v>504</v>
      </c>
      <c r="AS57" s="151" t="s">
        <v>527</v>
      </c>
      <c r="AT57" s="151" t="s">
        <v>97</v>
      </c>
      <c r="AU57" s="151" t="s">
        <v>97</v>
      </c>
      <c r="AV57" s="151" t="s">
        <v>97</v>
      </c>
      <c r="AW57" s="151" t="s">
        <v>97</v>
      </c>
      <c r="AX57" s="151" t="s">
        <v>492</v>
      </c>
      <c r="AY57" s="151" t="s">
        <v>514</v>
      </c>
      <c r="AZ57" s="151" t="s">
        <v>517</v>
      </c>
      <c r="BA57" s="151" t="s">
        <v>97</v>
      </c>
      <c r="BB57" s="151" t="s">
        <v>519</v>
      </c>
      <c r="BC57" s="151" t="s">
        <v>97</v>
      </c>
      <c r="BD57" s="151" t="s">
        <v>521</v>
      </c>
      <c r="BE57" s="151" t="s">
        <v>517</v>
      </c>
      <c r="BF57" s="151" t="s">
        <v>792</v>
      </c>
      <c r="BG57" s="151" t="s">
        <v>97</v>
      </c>
      <c r="BH57" s="151" t="s">
        <v>97</v>
      </c>
      <c r="BI57" s="151" t="s">
        <v>499</v>
      </c>
      <c r="BJ57" s="151" t="s">
        <v>782</v>
      </c>
      <c r="BK57" s="151" t="s">
        <v>97</v>
      </c>
      <c r="BL57" s="151" t="s">
        <v>97</v>
      </c>
      <c r="BM57" s="151" t="s">
        <v>97</v>
      </c>
      <c r="BN57" s="151" t="s">
        <v>514</v>
      </c>
      <c r="BO57" s="151" t="s">
        <v>97</v>
      </c>
      <c r="BP57" s="151" t="s">
        <v>97</v>
      </c>
      <c r="BQ57" s="151" t="s">
        <v>97</v>
      </c>
      <c r="BR57" s="151" t="s">
        <v>513</v>
      </c>
      <c r="BS57" s="151" t="s">
        <v>97</v>
      </c>
      <c r="BT57" s="151" t="s">
        <v>97</v>
      </c>
      <c r="BU57" s="151" t="s">
        <v>497</v>
      </c>
      <c r="BV57" s="151" t="s">
        <v>97</v>
      </c>
      <c r="BW57" s="151" t="s">
        <v>97</v>
      </c>
      <c r="BX57" s="151" t="s">
        <v>97</v>
      </c>
      <c r="BY57" s="151" t="s">
        <v>497</v>
      </c>
      <c r="BZ57" s="151" t="s">
        <v>521</v>
      </c>
      <c r="CA57" s="151" t="s">
        <v>97</v>
      </c>
      <c r="CB57" s="151" t="s">
        <v>97</v>
      </c>
      <c r="CC57" s="151" t="s">
        <v>97</v>
      </c>
      <c r="CD57" s="151" t="s">
        <v>97</v>
      </c>
      <c r="CE57" s="151" t="s">
        <v>97</v>
      </c>
      <c r="CF57" s="151" t="s">
        <v>97</v>
      </c>
      <c r="CG57" s="151" t="s">
        <v>518</v>
      </c>
      <c r="CH57" s="151" t="s">
        <v>97</v>
      </c>
      <c r="CI57" s="151" t="s">
        <v>97</v>
      </c>
      <c r="CJ57" s="151" t="s">
        <v>97</v>
      </c>
      <c r="CK57" s="151" t="s">
        <v>97</v>
      </c>
      <c r="CL57" s="151" t="s">
        <v>97</v>
      </c>
      <c r="CM57" s="151" t="s">
        <v>97</v>
      </c>
      <c r="CN57" s="151" t="s">
        <v>789</v>
      </c>
      <c r="CO57" s="151" t="s">
        <v>521</v>
      </c>
      <c r="CP57" s="151" t="s">
        <v>518</v>
      </c>
      <c r="CQ57" s="151" t="s">
        <v>510</v>
      </c>
      <c r="CR57" s="151" t="s">
        <v>813</v>
      </c>
      <c r="CS57" s="151" t="s">
        <v>812</v>
      </c>
      <c r="CT57" s="151" t="s">
        <v>791</v>
      </c>
      <c r="CU57" s="151" t="s">
        <v>634</v>
      </c>
      <c r="CV57" s="151" t="s">
        <v>97</v>
      </c>
      <c r="CW57" s="151" t="s">
        <v>97</v>
      </c>
      <c r="CX57" s="151" t="s">
        <v>97</v>
      </c>
      <c r="CY57" s="151" t="s">
        <v>506</v>
      </c>
      <c r="CZ57" s="151" t="s">
        <v>515</v>
      </c>
      <c r="DA57" s="151" t="s">
        <v>97</v>
      </c>
      <c r="DB57" s="151" t="s">
        <v>783</v>
      </c>
      <c r="DC57" s="151" t="s">
        <v>90</v>
      </c>
      <c r="DD57" s="151" t="s">
        <v>634</v>
      </c>
      <c r="DE57" s="152" t="s">
        <v>510</v>
      </c>
      <c r="DF57" s="152" t="s">
        <v>490</v>
      </c>
      <c r="DG57" s="152" t="s">
        <v>97</v>
      </c>
      <c r="DH57" s="152" t="s">
        <v>490</v>
      </c>
      <c r="DI57" s="152" t="s">
        <v>97</v>
      </c>
      <c r="DJ57" s="155" t="s">
        <v>97</v>
      </c>
      <c r="DK57" s="155" t="s">
        <v>97</v>
      </c>
      <c r="DL57" s="155" t="s">
        <v>491</v>
      </c>
      <c r="DM57" s="155" t="s">
        <v>91</v>
      </c>
      <c r="DN57" s="155" t="s">
        <v>514</v>
      </c>
      <c r="DO57" s="152" t="s">
        <v>494</v>
      </c>
      <c r="DP57" s="153" t="s">
        <v>97</v>
      </c>
      <c r="DW57" s="219" t="s">
        <v>97</v>
      </c>
      <c r="DX57" s="153" t="s">
        <v>97</v>
      </c>
      <c r="DY57" s="153" t="s">
        <v>97</v>
      </c>
      <c r="DZ57" s="153" t="s">
        <v>622</v>
      </c>
    </row>
    <row r="58" spans="1:130" s="5" customFormat="1" outlineLevel="1">
      <c r="A58" s="656"/>
      <c r="B58" s="84" t="str">
        <f t="shared" si="7"/>
        <v xml:space="preserve"> </v>
      </c>
      <c r="C58" s="84" t="str">
        <f t="shared" si="6"/>
        <v xml:space="preserve"> </v>
      </c>
      <c r="D58" s="84" t="str">
        <f t="shared" si="8"/>
        <v xml:space="preserve"> </v>
      </c>
      <c r="E58" s="84" t="str">
        <f t="shared" si="9"/>
        <v xml:space="preserve"> </v>
      </c>
      <c r="F58" s="647"/>
      <c r="G58" s="64" t="s">
        <v>97</v>
      </c>
      <c r="H58" s="151" t="s">
        <v>97</v>
      </c>
      <c r="I58" s="151" t="s">
        <v>97</v>
      </c>
      <c r="J58" s="151" t="s">
        <v>97</v>
      </c>
      <c r="K58" s="151" t="s">
        <v>97</v>
      </c>
      <c r="L58" s="151" t="s">
        <v>503</v>
      </c>
      <c r="M58" s="151" t="s">
        <v>97</v>
      </c>
      <c r="N58" s="151" t="s">
        <v>822</v>
      </c>
      <c r="O58" s="151" t="s">
        <v>503</v>
      </c>
      <c r="P58" s="151" t="s">
        <v>97</v>
      </c>
      <c r="Q58" s="151" t="s">
        <v>97</v>
      </c>
      <c r="R58" s="151" t="s">
        <v>97</v>
      </c>
      <c r="S58" s="151" t="s">
        <v>97</v>
      </c>
      <c r="T58" s="151" t="s">
        <v>97</v>
      </c>
      <c r="U58" s="151" t="s">
        <v>97</v>
      </c>
      <c r="V58" s="151" t="s">
        <v>508</v>
      </c>
      <c r="W58" s="151" t="s">
        <v>504</v>
      </c>
      <c r="X58" s="151" t="s">
        <v>766</v>
      </c>
      <c r="Y58" s="151" t="s">
        <v>97</v>
      </c>
      <c r="Z58" s="151" t="s">
        <v>97</v>
      </c>
      <c r="AA58" s="151" t="s">
        <v>630</v>
      </c>
      <c r="AB58" s="151" t="s">
        <v>509</v>
      </c>
      <c r="AC58" s="151" t="s">
        <v>506</v>
      </c>
      <c r="AD58" s="151" t="s">
        <v>90</v>
      </c>
      <c r="AE58" s="151" t="s">
        <v>97</v>
      </c>
      <c r="AF58" s="151" t="s">
        <v>97</v>
      </c>
      <c r="AG58" s="151" t="s">
        <v>503</v>
      </c>
      <c r="AH58" s="151" t="s">
        <v>97</v>
      </c>
      <c r="AI58" s="151" t="s">
        <v>97</v>
      </c>
      <c r="AJ58" s="151" t="s">
        <v>97</v>
      </c>
      <c r="AK58" s="151" t="s">
        <v>97</v>
      </c>
      <c r="AL58" s="151" t="s">
        <v>520</v>
      </c>
      <c r="AM58" s="151" t="s">
        <v>785</v>
      </c>
      <c r="AN58" s="151" t="s">
        <v>97</v>
      </c>
      <c r="AO58" s="151" t="s">
        <v>519</v>
      </c>
      <c r="AP58" s="151" t="s">
        <v>518</v>
      </c>
      <c r="AQ58" s="151" t="s">
        <v>97</v>
      </c>
      <c r="AR58" s="151" t="s">
        <v>97</v>
      </c>
      <c r="AS58" s="151" t="s">
        <v>740</v>
      </c>
      <c r="AT58" s="151" t="s">
        <v>97</v>
      </c>
      <c r="AU58" s="151" t="s">
        <v>97</v>
      </c>
      <c r="AV58" s="151" t="s">
        <v>97</v>
      </c>
      <c r="AW58" s="151" t="s">
        <v>97</v>
      </c>
      <c r="AX58" s="151" t="s">
        <v>97</v>
      </c>
      <c r="AY58" s="151" t="s">
        <v>97</v>
      </c>
      <c r="AZ58" s="151" t="s">
        <v>514</v>
      </c>
      <c r="BA58" s="151" t="s">
        <v>97</v>
      </c>
      <c r="BB58" s="151" t="s">
        <v>508</v>
      </c>
      <c r="BC58" s="151" t="s">
        <v>97</v>
      </c>
      <c r="BD58" s="151" t="s">
        <v>789</v>
      </c>
      <c r="BE58" s="151" t="s">
        <v>519</v>
      </c>
      <c r="BF58" s="151" t="s">
        <v>503</v>
      </c>
      <c r="BG58" s="151" t="s">
        <v>97</v>
      </c>
      <c r="BH58" s="151" t="s">
        <v>97</v>
      </c>
      <c r="BI58" s="151" t="s">
        <v>503</v>
      </c>
      <c r="BJ58" s="151" t="s">
        <v>783</v>
      </c>
      <c r="BK58" s="151" t="s">
        <v>97</v>
      </c>
      <c r="BL58" s="151" t="s">
        <v>97</v>
      </c>
      <c r="BM58" s="151" t="s">
        <v>97</v>
      </c>
      <c r="BN58" s="151" t="s">
        <v>97</v>
      </c>
      <c r="BO58" s="151" t="s">
        <v>97</v>
      </c>
      <c r="BP58" s="151" t="s">
        <v>97</v>
      </c>
      <c r="BQ58" s="151" t="s">
        <v>97</v>
      </c>
      <c r="BR58" s="151" t="s">
        <v>79</v>
      </c>
      <c r="BS58" s="151" t="s">
        <v>97</v>
      </c>
      <c r="BT58" s="151" t="s">
        <v>97</v>
      </c>
      <c r="BU58" s="151" t="s">
        <v>97</v>
      </c>
      <c r="BV58" s="151" t="s">
        <v>97</v>
      </c>
      <c r="BW58" s="151" t="s">
        <v>97</v>
      </c>
      <c r="BX58" s="151" t="s">
        <v>97</v>
      </c>
      <c r="BY58" s="151" t="s">
        <v>511</v>
      </c>
      <c r="BZ58" s="151" t="s">
        <v>515</v>
      </c>
      <c r="CA58" s="151" t="s">
        <v>97</v>
      </c>
      <c r="CB58" s="151" t="s">
        <v>97</v>
      </c>
      <c r="CC58" s="151" t="s">
        <v>97</v>
      </c>
      <c r="CD58" s="151" t="s">
        <v>97</v>
      </c>
      <c r="CE58" s="151" t="s">
        <v>97</v>
      </c>
      <c r="CF58" s="151" t="s">
        <v>97</v>
      </c>
      <c r="CG58" s="151" t="s">
        <v>503</v>
      </c>
      <c r="CH58" s="151" t="s">
        <v>97</v>
      </c>
      <c r="CI58" s="151" t="s">
        <v>97</v>
      </c>
      <c r="CJ58" s="151" t="s">
        <v>97</v>
      </c>
      <c r="CK58" s="151" t="s">
        <v>97</v>
      </c>
      <c r="CL58" s="151" t="s">
        <v>97</v>
      </c>
      <c r="CM58" s="151" t="s">
        <v>97</v>
      </c>
      <c r="CN58" s="151" t="s">
        <v>90</v>
      </c>
      <c r="CO58" s="151" t="s">
        <v>515</v>
      </c>
      <c r="CP58" s="151" t="s">
        <v>813</v>
      </c>
      <c r="CQ58" s="151" t="s">
        <v>520</v>
      </c>
      <c r="CR58" s="151" t="s">
        <v>97</v>
      </c>
      <c r="CS58" s="151" t="s">
        <v>783</v>
      </c>
      <c r="CT58" s="151" t="s">
        <v>792</v>
      </c>
      <c r="CU58" s="151" t="s">
        <v>97</v>
      </c>
      <c r="CV58" s="151" t="s">
        <v>97</v>
      </c>
      <c r="CW58" s="151" t="s">
        <v>97</v>
      </c>
      <c r="CX58" s="151" t="s">
        <v>97</v>
      </c>
      <c r="CY58" s="151" t="s">
        <v>634</v>
      </c>
      <c r="CZ58" s="151" t="s">
        <v>90</v>
      </c>
      <c r="DA58" s="151" t="s">
        <v>97</v>
      </c>
      <c r="DB58" s="151" t="s">
        <v>784</v>
      </c>
      <c r="DC58" s="151" t="s">
        <v>521</v>
      </c>
      <c r="DD58" s="151" t="s">
        <v>97</v>
      </c>
      <c r="DE58" s="152" t="s">
        <v>509</v>
      </c>
      <c r="DF58" s="152" t="s">
        <v>624</v>
      </c>
      <c r="DG58" s="152" t="s">
        <v>97</v>
      </c>
      <c r="DH58" s="152" t="s">
        <v>634</v>
      </c>
      <c r="DI58" s="152" t="s">
        <v>97</v>
      </c>
      <c r="DJ58" s="152" t="s">
        <v>97</v>
      </c>
      <c r="DK58" s="152" t="s">
        <v>97</v>
      </c>
      <c r="DL58" s="152" t="s">
        <v>505</v>
      </c>
      <c r="DM58" s="152" t="s">
        <v>97</v>
      </c>
      <c r="DN58" s="152" t="s">
        <v>97</v>
      </c>
      <c r="DO58" s="156" t="s">
        <v>510</v>
      </c>
      <c r="DP58" s="153" t="s">
        <v>97</v>
      </c>
      <c r="DW58" s="219" t="s">
        <v>97</v>
      </c>
      <c r="DX58" s="153" t="s">
        <v>97</v>
      </c>
      <c r="DY58" s="153" t="s">
        <v>97</v>
      </c>
      <c r="DZ58" s="153" t="s">
        <v>97</v>
      </c>
    </row>
    <row r="59" spans="1:130" s="5" customFormat="1" outlineLevel="1">
      <c r="A59" s="656"/>
      <c r="B59" s="84" t="str">
        <f t="shared" si="7"/>
        <v xml:space="preserve"> </v>
      </c>
      <c r="C59" s="84" t="str">
        <f t="shared" si="6"/>
        <v xml:space="preserve"> </v>
      </c>
      <c r="D59" s="84" t="str">
        <f t="shared" si="8"/>
        <v xml:space="preserve"> </v>
      </c>
      <c r="E59" s="84" t="str">
        <f t="shared" si="9"/>
        <v xml:space="preserve"> </v>
      </c>
      <c r="F59" s="647"/>
      <c r="G59" s="64" t="s">
        <v>97</v>
      </c>
      <c r="H59" s="151" t="s">
        <v>97</v>
      </c>
      <c r="I59" s="151" t="s">
        <v>97</v>
      </c>
      <c r="J59" s="151" t="s">
        <v>97</v>
      </c>
      <c r="K59" s="151" t="s">
        <v>97</v>
      </c>
      <c r="L59" s="151" t="s">
        <v>506</v>
      </c>
      <c r="M59" s="151" t="s">
        <v>97</v>
      </c>
      <c r="N59" s="151" t="s">
        <v>504</v>
      </c>
      <c r="O59" s="151" t="s">
        <v>634</v>
      </c>
      <c r="P59" s="151" t="s">
        <v>97</v>
      </c>
      <c r="Q59" s="151" t="s">
        <v>97</v>
      </c>
      <c r="R59" s="151" t="s">
        <v>97</v>
      </c>
      <c r="S59" s="151" t="s">
        <v>97</v>
      </c>
      <c r="T59" s="151" t="s">
        <v>97</v>
      </c>
      <c r="U59" s="151" t="s">
        <v>97</v>
      </c>
      <c r="V59" s="151" t="s">
        <v>766</v>
      </c>
      <c r="W59" s="151" t="s">
        <v>97</v>
      </c>
      <c r="X59" s="151" t="s">
        <v>521</v>
      </c>
      <c r="Y59" s="151" t="s">
        <v>97</v>
      </c>
      <c r="Z59" s="151" t="s">
        <v>97</v>
      </c>
      <c r="AA59" s="151" t="s">
        <v>97</v>
      </c>
      <c r="AB59" s="151" t="s">
        <v>510</v>
      </c>
      <c r="AC59" s="151" t="s">
        <v>97</v>
      </c>
      <c r="AD59" s="151" t="s">
        <v>621</v>
      </c>
      <c r="AE59" s="151" t="s">
        <v>97</v>
      </c>
      <c r="AF59" s="151" t="s">
        <v>97</v>
      </c>
      <c r="AG59" s="151" t="s">
        <v>766</v>
      </c>
      <c r="AH59" s="151" t="s">
        <v>97</v>
      </c>
      <c r="AI59" s="151" t="s">
        <v>97</v>
      </c>
      <c r="AJ59" s="151" t="s">
        <v>97</v>
      </c>
      <c r="AK59" s="151" t="s">
        <v>97</v>
      </c>
      <c r="AL59" s="151" t="s">
        <v>97</v>
      </c>
      <c r="AM59" s="151" t="s">
        <v>782</v>
      </c>
      <c r="AN59" s="151" t="s">
        <v>97</v>
      </c>
      <c r="AO59" s="151" t="s">
        <v>512</v>
      </c>
      <c r="AP59" s="151" t="s">
        <v>504</v>
      </c>
      <c r="AQ59" s="151" t="s">
        <v>97</v>
      </c>
      <c r="AR59" s="151" t="s">
        <v>97</v>
      </c>
      <c r="AS59" s="151" t="s">
        <v>493</v>
      </c>
      <c r="AT59" s="151" t="s">
        <v>97</v>
      </c>
      <c r="AU59" s="151" t="s">
        <v>97</v>
      </c>
      <c r="AV59" s="151" t="s">
        <v>97</v>
      </c>
      <c r="AW59" s="151" t="s">
        <v>97</v>
      </c>
      <c r="AX59" s="151" t="s">
        <v>97</v>
      </c>
      <c r="AY59" s="151" t="s">
        <v>97</v>
      </c>
      <c r="AZ59" s="151" t="s">
        <v>97</v>
      </c>
      <c r="BA59" s="151" t="s">
        <v>97</v>
      </c>
      <c r="BB59" s="151" t="s">
        <v>97</v>
      </c>
      <c r="BC59" s="151" t="s">
        <v>97</v>
      </c>
      <c r="BD59" s="151" t="s">
        <v>90</v>
      </c>
      <c r="BE59" s="151" t="s">
        <v>97</v>
      </c>
      <c r="BF59" s="151" t="s">
        <v>510</v>
      </c>
      <c r="BG59" s="151" t="s">
        <v>97</v>
      </c>
      <c r="BH59" s="151" t="s">
        <v>97</v>
      </c>
      <c r="BI59" s="151" t="s">
        <v>505</v>
      </c>
      <c r="BJ59" s="151" t="s">
        <v>79</v>
      </c>
      <c r="BK59" s="151" t="s">
        <v>97</v>
      </c>
      <c r="BL59" s="151" t="s">
        <v>97</v>
      </c>
      <c r="BM59" s="151" t="s">
        <v>97</v>
      </c>
      <c r="BN59" s="151" t="s">
        <v>97</v>
      </c>
      <c r="BO59" s="151" t="s">
        <v>97</v>
      </c>
      <c r="BP59" s="151" t="s">
        <v>97</v>
      </c>
      <c r="BQ59" s="151" t="s">
        <v>97</v>
      </c>
      <c r="BR59" s="151" t="s">
        <v>782</v>
      </c>
      <c r="BS59" s="151" t="s">
        <v>97</v>
      </c>
      <c r="BT59" s="151" t="s">
        <v>97</v>
      </c>
      <c r="BU59" s="151" t="s">
        <v>97</v>
      </c>
      <c r="BV59" s="151" t="s">
        <v>97</v>
      </c>
      <c r="BW59" s="151" t="s">
        <v>97</v>
      </c>
      <c r="BX59" s="151" t="s">
        <v>97</v>
      </c>
      <c r="BY59" s="151" t="s">
        <v>514</v>
      </c>
      <c r="BZ59" s="151" t="s">
        <v>97</v>
      </c>
      <c r="CA59" s="151" t="s">
        <v>97</v>
      </c>
      <c r="CB59" s="151" t="s">
        <v>97</v>
      </c>
      <c r="CC59" s="151" t="s">
        <v>97</v>
      </c>
      <c r="CD59" s="151" t="s">
        <v>97</v>
      </c>
      <c r="CE59" s="151" t="s">
        <v>97</v>
      </c>
      <c r="CF59" s="151" t="s">
        <v>97</v>
      </c>
      <c r="CG59" s="151" t="s">
        <v>504</v>
      </c>
      <c r="CH59" s="151" t="s">
        <v>97</v>
      </c>
      <c r="CI59" s="151" t="s">
        <v>97</v>
      </c>
      <c r="CJ59" s="151" t="s">
        <v>97</v>
      </c>
      <c r="CK59" s="151" t="s">
        <v>97</v>
      </c>
      <c r="CL59" s="151" t="s">
        <v>97</v>
      </c>
      <c r="CM59" s="151" t="s">
        <v>97</v>
      </c>
      <c r="CN59" s="151" t="s">
        <v>97</v>
      </c>
      <c r="CO59" s="151" t="s">
        <v>789</v>
      </c>
      <c r="CP59" s="151" t="s">
        <v>97</v>
      </c>
      <c r="CQ59" s="151" t="s">
        <v>88</v>
      </c>
      <c r="CR59" s="151" t="s">
        <v>97</v>
      </c>
      <c r="CS59" s="151" t="s">
        <v>79</v>
      </c>
      <c r="CT59" s="151" t="s">
        <v>97</v>
      </c>
      <c r="CU59" s="151" t="s">
        <v>97</v>
      </c>
      <c r="CV59" s="151" t="s">
        <v>97</v>
      </c>
      <c r="CW59" s="151" t="s">
        <v>97</v>
      </c>
      <c r="CX59" s="151" t="s">
        <v>97</v>
      </c>
      <c r="CY59" s="151" t="s">
        <v>766</v>
      </c>
      <c r="CZ59" s="151" t="s">
        <v>789</v>
      </c>
      <c r="DA59" s="151" t="s">
        <v>97</v>
      </c>
      <c r="DB59" s="151" t="s">
        <v>785</v>
      </c>
      <c r="DC59" s="151" t="s">
        <v>97</v>
      </c>
      <c r="DD59" s="151" t="s">
        <v>97</v>
      </c>
      <c r="DE59" s="152" t="s">
        <v>97</v>
      </c>
      <c r="DF59" s="152" t="s">
        <v>505</v>
      </c>
      <c r="DG59" s="152" t="s">
        <v>97</v>
      </c>
      <c r="DH59" s="152" t="s">
        <v>514</v>
      </c>
      <c r="DI59" s="152" t="s">
        <v>97</v>
      </c>
      <c r="DJ59" s="152" t="s">
        <v>97</v>
      </c>
      <c r="DK59" s="152" t="s">
        <v>97</v>
      </c>
      <c r="DL59" s="152" t="s">
        <v>509</v>
      </c>
      <c r="DM59" s="152" t="s">
        <v>97</v>
      </c>
      <c r="DN59" s="152" t="s">
        <v>97</v>
      </c>
      <c r="DO59" s="156" t="s">
        <v>761</v>
      </c>
      <c r="DP59" s="153" t="s">
        <v>97</v>
      </c>
      <c r="DW59" s="219" t="s">
        <v>97</v>
      </c>
      <c r="DX59" s="153" t="s">
        <v>97</v>
      </c>
      <c r="DY59" s="153" t="s">
        <v>97</v>
      </c>
      <c r="DZ59" s="153" t="s">
        <v>97</v>
      </c>
    </row>
    <row r="60" spans="1:130" s="5" customFormat="1" outlineLevel="1">
      <c r="A60" s="656"/>
      <c r="B60" s="84" t="str">
        <f t="shared" si="7"/>
        <v xml:space="preserve"> </v>
      </c>
      <c r="C60" s="84" t="str">
        <f t="shared" si="6"/>
        <v xml:space="preserve"> </v>
      </c>
      <c r="D60" s="84" t="str">
        <f t="shared" si="8"/>
        <v xml:space="preserve"> </v>
      </c>
      <c r="E60" s="84" t="str">
        <f t="shared" si="9"/>
        <v xml:space="preserve"> </v>
      </c>
      <c r="F60" s="647"/>
      <c r="G60" s="64" t="s">
        <v>97</v>
      </c>
      <c r="H60" s="151" t="s">
        <v>97</v>
      </c>
      <c r="I60" s="151" t="s">
        <v>97</v>
      </c>
      <c r="J60" s="151" t="s">
        <v>97</v>
      </c>
      <c r="K60" s="151" t="s">
        <v>97</v>
      </c>
      <c r="L60" s="151" t="s">
        <v>766</v>
      </c>
      <c r="M60" s="151" t="s">
        <v>97</v>
      </c>
      <c r="N60" s="151" t="s">
        <v>624</v>
      </c>
      <c r="O60" s="151" t="s">
        <v>512</v>
      </c>
      <c r="P60" s="151" t="s">
        <v>97</v>
      </c>
      <c r="Q60" s="151" t="s">
        <v>97</v>
      </c>
      <c r="R60" s="151" t="s">
        <v>97</v>
      </c>
      <c r="S60" s="151" t="s">
        <v>97</v>
      </c>
      <c r="T60" s="151" t="s">
        <v>97</v>
      </c>
      <c r="U60" s="151" t="s">
        <v>97</v>
      </c>
      <c r="V60" s="151" t="s">
        <v>97</v>
      </c>
      <c r="W60" s="151" t="s">
        <v>97</v>
      </c>
      <c r="X60" s="151" t="s">
        <v>515</v>
      </c>
      <c r="Y60" s="151" t="s">
        <v>97</v>
      </c>
      <c r="Z60" s="151" t="s">
        <v>97</v>
      </c>
      <c r="AA60" s="151" t="s">
        <v>97</v>
      </c>
      <c r="AB60" s="151" t="s">
        <v>97</v>
      </c>
      <c r="AC60" s="151" t="s">
        <v>97</v>
      </c>
      <c r="AD60" s="151" t="s">
        <v>97</v>
      </c>
      <c r="AE60" s="151" t="s">
        <v>97</v>
      </c>
      <c r="AF60" s="151" t="s">
        <v>97</v>
      </c>
      <c r="AG60" s="151" t="s">
        <v>621</v>
      </c>
      <c r="AH60" s="151" t="s">
        <v>97</v>
      </c>
      <c r="AI60" s="151" t="s">
        <v>97</v>
      </c>
      <c r="AJ60" s="151" t="s">
        <v>97</v>
      </c>
      <c r="AK60" s="151" t="s">
        <v>97</v>
      </c>
      <c r="AL60" s="151" t="s">
        <v>97</v>
      </c>
      <c r="AM60" s="151" t="s">
        <v>922</v>
      </c>
      <c r="AN60" s="151" t="s">
        <v>97</v>
      </c>
      <c r="AO60" s="151" t="s">
        <v>515</v>
      </c>
      <c r="AP60" s="151" t="s">
        <v>97</v>
      </c>
      <c r="AQ60" s="151" t="s">
        <v>97</v>
      </c>
      <c r="AR60" s="151" t="s">
        <v>97</v>
      </c>
      <c r="AS60" s="151" t="s">
        <v>822</v>
      </c>
      <c r="AT60" s="151" t="s">
        <v>97</v>
      </c>
      <c r="AU60" s="151" t="s">
        <v>97</v>
      </c>
      <c r="AV60" s="151" t="s">
        <v>97</v>
      </c>
      <c r="AW60" s="151" t="s">
        <v>97</v>
      </c>
      <c r="AX60" s="151" t="s">
        <v>97</v>
      </c>
      <c r="AY60" s="151" t="s">
        <v>97</v>
      </c>
      <c r="AZ60" s="151" t="s">
        <v>97</v>
      </c>
      <c r="BA60" s="151" t="s">
        <v>97</v>
      </c>
      <c r="BB60" s="151" t="s">
        <v>97</v>
      </c>
      <c r="BC60" s="151" t="s">
        <v>97</v>
      </c>
      <c r="BD60" s="151" t="s">
        <v>97</v>
      </c>
      <c r="BE60" s="151" t="s">
        <v>97</v>
      </c>
      <c r="BF60" s="151" t="s">
        <v>515</v>
      </c>
      <c r="BG60" s="151" t="s">
        <v>97</v>
      </c>
      <c r="BH60" s="151" t="s">
        <v>97</v>
      </c>
      <c r="BI60" s="151" t="s">
        <v>508</v>
      </c>
      <c r="BJ60" s="151" t="s">
        <v>513</v>
      </c>
      <c r="BK60" s="151" t="s">
        <v>97</v>
      </c>
      <c r="BL60" s="151" t="s">
        <v>97</v>
      </c>
      <c r="BM60" s="151" t="s">
        <v>97</v>
      </c>
      <c r="BN60" s="151" t="s">
        <v>97</v>
      </c>
      <c r="BO60" s="151" t="s">
        <v>97</v>
      </c>
      <c r="BP60" s="151" t="s">
        <v>97</v>
      </c>
      <c r="BQ60" s="151" t="s">
        <v>97</v>
      </c>
      <c r="BR60" s="151" t="s">
        <v>97</v>
      </c>
      <c r="BS60" s="151" t="s">
        <v>97</v>
      </c>
      <c r="BT60" s="151" t="s">
        <v>97</v>
      </c>
      <c r="BU60" s="151" t="s">
        <v>97</v>
      </c>
      <c r="BV60" s="151" t="s">
        <v>97</v>
      </c>
      <c r="BW60" s="151" t="s">
        <v>97</v>
      </c>
      <c r="BX60" s="151" t="s">
        <v>97</v>
      </c>
      <c r="BY60" s="151" t="s">
        <v>97</v>
      </c>
      <c r="BZ60" s="151" t="s">
        <v>97</v>
      </c>
      <c r="CA60" s="151" t="s">
        <v>97</v>
      </c>
      <c r="CB60" s="151" t="s">
        <v>97</v>
      </c>
      <c r="CC60" s="151" t="s">
        <v>97</v>
      </c>
      <c r="CD60" s="151" t="s">
        <v>97</v>
      </c>
      <c r="CE60" s="151" t="s">
        <v>97</v>
      </c>
      <c r="CF60" s="151" t="s">
        <v>97</v>
      </c>
      <c r="CG60" s="151" t="s">
        <v>97</v>
      </c>
      <c r="CH60" s="151" t="s">
        <v>97</v>
      </c>
      <c r="CI60" s="151" t="s">
        <v>97</v>
      </c>
      <c r="CJ60" s="151" t="s">
        <v>97</v>
      </c>
      <c r="CK60" s="151" t="s">
        <v>97</v>
      </c>
      <c r="CL60" s="151" t="s">
        <v>97</v>
      </c>
      <c r="CM60" s="151" t="s">
        <v>97</v>
      </c>
      <c r="CN60" s="151" t="s">
        <v>97</v>
      </c>
      <c r="CO60" s="151" t="s">
        <v>97</v>
      </c>
      <c r="CP60" s="151" t="s">
        <v>97</v>
      </c>
      <c r="CQ60" s="151" t="s">
        <v>97</v>
      </c>
      <c r="CR60" s="151" t="s">
        <v>97</v>
      </c>
      <c r="CS60" s="151" t="s">
        <v>785</v>
      </c>
      <c r="CT60" s="151" t="s">
        <v>97</v>
      </c>
      <c r="CU60" s="151" t="s">
        <v>97</v>
      </c>
      <c r="CV60" s="151" t="s">
        <v>97</v>
      </c>
      <c r="CW60" s="151" t="s">
        <v>97</v>
      </c>
      <c r="CX60" s="151" t="s">
        <v>97</v>
      </c>
      <c r="CY60" s="151" t="s">
        <v>509</v>
      </c>
      <c r="CZ60" s="151" t="s">
        <v>97</v>
      </c>
      <c r="DA60" s="151" t="s">
        <v>97</v>
      </c>
      <c r="DB60" s="151" t="s">
        <v>97</v>
      </c>
      <c r="DC60" s="151" t="s">
        <v>97</v>
      </c>
      <c r="DD60" s="151" t="s">
        <v>97</v>
      </c>
      <c r="DE60" s="152" t="s">
        <v>97</v>
      </c>
      <c r="DF60" s="152" t="s">
        <v>521</v>
      </c>
      <c r="DG60" s="152" t="s">
        <v>97</v>
      </c>
      <c r="DH60" s="152" t="s">
        <v>515</v>
      </c>
      <c r="DI60" s="152" t="s">
        <v>97</v>
      </c>
      <c r="DJ60" s="152" t="s">
        <v>97</v>
      </c>
      <c r="DK60" s="152" t="s">
        <v>97</v>
      </c>
      <c r="DL60" s="152" t="s">
        <v>510</v>
      </c>
      <c r="DM60" s="152" t="s">
        <v>97</v>
      </c>
      <c r="DN60" s="152" t="s">
        <v>97</v>
      </c>
      <c r="DO60" s="156" t="s">
        <v>97</v>
      </c>
      <c r="DP60" s="153" t="s">
        <v>97</v>
      </c>
      <c r="DW60" s="219" t="s">
        <v>97</v>
      </c>
      <c r="DX60" s="153" t="s">
        <v>97</v>
      </c>
      <c r="DY60" s="153" t="s">
        <v>97</v>
      </c>
      <c r="DZ60" s="153" t="s">
        <v>97</v>
      </c>
    </row>
    <row r="61" spans="1:130" s="5" customFormat="1" outlineLevel="1">
      <c r="A61" s="656"/>
      <c r="B61" s="84" t="str">
        <f t="shared" si="7"/>
        <v xml:space="preserve"> </v>
      </c>
      <c r="C61" s="84" t="str">
        <f t="shared" si="6"/>
        <v xml:space="preserve"> </v>
      </c>
      <c r="D61" s="84" t="str">
        <f t="shared" si="8"/>
        <v xml:space="preserve"> </v>
      </c>
      <c r="E61" s="84" t="str">
        <f t="shared" si="9"/>
        <v xml:space="preserve"> </v>
      </c>
      <c r="F61" s="647"/>
      <c r="G61" s="64" t="s">
        <v>97</v>
      </c>
      <c r="H61" s="151" t="s">
        <v>97</v>
      </c>
      <c r="I61" s="151" t="s">
        <v>97</v>
      </c>
      <c r="J61" s="151" t="s">
        <v>97</v>
      </c>
      <c r="K61" s="151" t="s">
        <v>97</v>
      </c>
      <c r="L61" s="151" t="s">
        <v>515</v>
      </c>
      <c r="M61" s="151" t="s">
        <v>97</v>
      </c>
      <c r="N61" s="151" t="s">
        <v>90</v>
      </c>
      <c r="O61" s="151" t="s">
        <v>88</v>
      </c>
      <c r="P61" s="151" t="s">
        <v>97</v>
      </c>
      <c r="Q61" s="151" t="s">
        <v>97</v>
      </c>
      <c r="R61" s="151" t="s">
        <v>97</v>
      </c>
      <c r="S61" s="151" t="s">
        <v>97</v>
      </c>
      <c r="T61" s="151" t="s">
        <v>97</v>
      </c>
      <c r="U61" s="151" t="s">
        <v>97</v>
      </c>
      <c r="V61" s="151" t="s">
        <v>97</v>
      </c>
      <c r="W61" s="151" t="s">
        <v>97</v>
      </c>
      <c r="X61" s="151" t="s">
        <v>90</v>
      </c>
      <c r="Y61" s="151" t="s">
        <v>97</v>
      </c>
      <c r="Z61" s="151" t="s">
        <v>97</v>
      </c>
      <c r="AA61" s="151" t="s">
        <v>97</v>
      </c>
      <c r="AB61" s="151" t="s">
        <v>97</v>
      </c>
      <c r="AC61" s="151" t="s">
        <v>97</v>
      </c>
      <c r="AD61" s="151" t="s">
        <v>97</v>
      </c>
      <c r="AE61" s="151" t="s">
        <v>97</v>
      </c>
      <c r="AF61" s="151" t="s">
        <v>97</v>
      </c>
      <c r="AG61" s="151" t="s">
        <v>97</v>
      </c>
      <c r="AH61" s="151" t="s">
        <v>97</v>
      </c>
      <c r="AI61" s="151" t="s">
        <v>97</v>
      </c>
      <c r="AJ61" s="151" t="s">
        <v>97</v>
      </c>
      <c r="AK61" s="151" t="s">
        <v>97</v>
      </c>
      <c r="AL61" s="151" t="s">
        <v>97</v>
      </c>
      <c r="AM61" s="151" t="s">
        <v>923</v>
      </c>
      <c r="AN61" s="151" t="s">
        <v>97</v>
      </c>
      <c r="AO61" s="151" t="s">
        <v>97</v>
      </c>
      <c r="AP61" s="151" t="s">
        <v>97</v>
      </c>
      <c r="AQ61" s="151" t="s">
        <v>97</v>
      </c>
      <c r="AR61" s="151" t="s">
        <v>97</v>
      </c>
      <c r="AS61" s="151" t="s">
        <v>504</v>
      </c>
      <c r="AT61" s="151" t="s">
        <v>97</v>
      </c>
      <c r="AU61" s="151" t="s">
        <v>97</v>
      </c>
      <c r="AV61" s="151" t="s">
        <v>97</v>
      </c>
      <c r="AW61" s="151" t="s">
        <v>97</v>
      </c>
      <c r="AX61" s="151" t="s">
        <v>97</v>
      </c>
      <c r="AY61" s="151" t="s">
        <v>97</v>
      </c>
      <c r="AZ61" s="151" t="s">
        <v>97</v>
      </c>
      <c r="BA61" s="151" t="s">
        <v>97</v>
      </c>
      <c r="BB61" s="151" t="s">
        <v>97</v>
      </c>
      <c r="BC61" s="151" t="s">
        <v>97</v>
      </c>
      <c r="BD61" s="151" t="s">
        <v>97</v>
      </c>
      <c r="BE61" s="151" t="s">
        <v>97</v>
      </c>
      <c r="BF61" s="151" t="s">
        <v>97</v>
      </c>
      <c r="BG61" s="151" t="s">
        <v>97</v>
      </c>
      <c r="BH61" s="151" t="s">
        <v>97</v>
      </c>
      <c r="BI61" s="151" t="s">
        <v>513</v>
      </c>
      <c r="BJ61" s="151" t="s">
        <v>97</v>
      </c>
      <c r="BK61" s="151" t="s">
        <v>97</v>
      </c>
      <c r="BL61" s="151" t="s">
        <v>97</v>
      </c>
      <c r="BM61" s="151" t="s">
        <v>97</v>
      </c>
      <c r="BN61" s="151" t="s">
        <v>97</v>
      </c>
      <c r="BO61" s="151" t="s">
        <v>97</v>
      </c>
      <c r="BP61" s="151" t="s">
        <v>97</v>
      </c>
      <c r="BQ61" s="151" t="s">
        <v>97</v>
      </c>
      <c r="BR61" s="151" t="s">
        <v>97</v>
      </c>
      <c r="BS61" s="151" t="s">
        <v>97</v>
      </c>
      <c r="BT61" s="151" t="s">
        <v>97</v>
      </c>
      <c r="BU61" s="151" t="s">
        <v>97</v>
      </c>
      <c r="BV61" s="151" t="s">
        <v>97</v>
      </c>
      <c r="BW61" s="151" t="s">
        <v>97</v>
      </c>
      <c r="BX61" s="151" t="s">
        <v>97</v>
      </c>
      <c r="BY61" s="151" t="s">
        <v>97</v>
      </c>
      <c r="BZ61" s="151" t="s">
        <v>97</v>
      </c>
      <c r="CA61" s="151" t="s">
        <v>97</v>
      </c>
      <c r="CB61" s="151" t="s">
        <v>97</v>
      </c>
      <c r="CC61" s="151" t="s">
        <v>97</v>
      </c>
      <c r="CD61" s="151" t="s">
        <v>97</v>
      </c>
      <c r="CE61" s="151" t="s">
        <v>97</v>
      </c>
      <c r="CF61" s="151" t="s">
        <v>97</v>
      </c>
      <c r="CG61" s="151" t="s">
        <v>97</v>
      </c>
      <c r="CH61" s="151" t="s">
        <v>97</v>
      </c>
      <c r="CI61" s="151" t="s">
        <v>97</v>
      </c>
      <c r="CJ61" s="151" t="s">
        <v>97</v>
      </c>
      <c r="CK61" s="151" t="s">
        <v>97</v>
      </c>
      <c r="CL61" s="151" t="s">
        <v>97</v>
      </c>
      <c r="CM61" s="151" t="s">
        <v>97</v>
      </c>
      <c r="CN61" s="151" t="s">
        <v>97</v>
      </c>
      <c r="CO61" s="151" t="s">
        <v>97</v>
      </c>
      <c r="CP61" s="151" t="s">
        <v>97</v>
      </c>
      <c r="CQ61" s="151" t="s">
        <v>97</v>
      </c>
      <c r="CR61" s="151" t="s">
        <v>97</v>
      </c>
      <c r="CS61" s="151" t="s">
        <v>97</v>
      </c>
      <c r="CT61" s="151" t="s">
        <v>97</v>
      </c>
      <c r="CU61" s="151" t="s">
        <v>97</v>
      </c>
      <c r="CV61" s="151" t="s">
        <v>97</v>
      </c>
      <c r="CW61" s="151" t="s">
        <v>97</v>
      </c>
      <c r="CX61" s="151" t="s">
        <v>97</v>
      </c>
      <c r="CY61" s="151" t="s">
        <v>91</v>
      </c>
      <c r="CZ61" s="151" t="s">
        <v>97</v>
      </c>
      <c r="DA61" s="151" t="s">
        <v>97</v>
      </c>
      <c r="DB61" s="151" t="s">
        <v>97</v>
      </c>
      <c r="DC61" s="151" t="s">
        <v>97</v>
      </c>
      <c r="DD61" s="151" t="s">
        <v>97</v>
      </c>
      <c r="DE61" s="152" t="s">
        <v>97</v>
      </c>
      <c r="DF61" s="152" t="s">
        <v>515</v>
      </c>
      <c r="DG61" s="152" t="s">
        <v>97</v>
      </c>
      <c r="DH61" s="152" t="s">
        <v>97</v>
      </c>
      <c r="DI61" s="152" t="s">
        <v>97</v>
      </c>
      <c r="DJ61" s="152" t="s">
        <v>97</v>
      </c>
      <c r="DK61" s="152" t="s">
        <v>97</v>
      </c>
      <c r="DL61" s="152" t="s">
        <v>97</v>
      </c>
      <c r="DM61" s="152" t="s">
        <v>97</v>
      </c>
      <c r="DN61" s="152" t="s">
        <v>97</v>
      </c>
      <c r="DO61" s="156" t="s">
        <v>97</v>
      </c>
      <c r="DP61" s="153" t="s">
        <v>97</v>
      </c>
      <c r="DW61" s="219" t="s">
        <v>97</v>
      </c>
      <c r="DX61" s="153" t="s">
        <v>97</v>
      </c>
      <c r="DY61" s="153" t="s">
        <v>97</v>
      </c>
      <c r="DZ61" s="153" t="s">
        <v>97</v>
      </c>
    </row>
    <row r="62" spans="1:130" s="5" customFormat="1" outlineLevel="1">
      <c r="A62" s="656"/>
      <c r="B62" s="84" t="str">
        <f t="shared" si="7"/>
        <v xml:space="preserve"> </v>
      </c>
      <c r="C62" s="84" t="str">
        <f t="shared" si="6"/>
        <v xml:space="preserve"> </v>
      </c>
      <c r="D62" s="84" t="str">
        <f t="shared" si="8"/>
        <v xml:space="preserve"> </v>
      </c>
      <c r="E62" s="84" t="str">
        <f t="shared" si="9"/>
        <v xml:space="preserve"> </v>
      </c>
      <c r="F62" s="647"/>
      <c r="G62" s="64" t="s">
        <v>97</v>
      </c>
      <c r="H62" s="151" t="s">
        <v>97</v>
      </c>
      <c r="I62" s="151" t="s">
        <v>97</v>
      </c>
      <c r="J62" s="151" t="s">
        <v>97</v>
      </c>
      <c r="K62" s="151" t="s">
        <v>97</v>
      </c>
      <c r="L62" s="151" t="s">
        <v>97</v>
      </c>
      <c r="M62" s="151" t="s">
        <v>97</v>
      </c>
      <c r="N62" s="151" t="s">
        <v>97</v>
      </c>
      <c r="O62" s="151" t="s">
        <v>97</v>
      </c>
      <c r="P62" s="151" t="s">
        <v>97</v>
      </c>
      <c r="Q62" s="151" t="s">
        <v>97</v>
      </c>
      <c r="R62" s="151" t="s">
        <v>97</v>
      </c>
      <c r="S62" s="151" t="s">
        <v>97</v>
      </c>
      <c r="T62" s="151" t="s">
        <v>97</v>
      </c>
      <c r="U62" s="151" t="s">
        <v>97</v>
      </c>
      <c r="V62" s="151" t="s">
        <v>97</v>
      </c>
      <c r="W62" s="151" t="s">
        <v>97</v>
      </c>
      <c r="X62" s="151" t="s">
        <v>97</v>
      </c>
      <c r="Y62" s="151" t="s">
        <v>97</v>
      </c>
      <c r="Z62" s="151" t="s">
        <v>97</v>
      </c>
      <c r="AA62" s="151" t="s">
        <v>97</v>
      </c>
      <c r="AB62" s="151" t="s">
        <v>97</v>
      </c>
      <c r="AC62" s="151" t="s">
        <v>97</v>
      </c>
      <c r="AD62" s="151" t="s">
        <v>97</v>
      </c>
      <c r="AE62" s="151" t="s">
        <v>97</v>
      </c>
      <c r="AF62" s="151" t="s">
        <v>97</v>
      </c>
      <c r="AG62" s="151" t="s">
        <v>97</v>
      </c>
      <c r="AH62" s="151" t="s">
        <v>97</v>
      </c>
      <c r="AI62" s="151" t="s">
        <v>97</v>
      </c>
      <c r="AJ62" s="151" t="s">
        <v>97</v>
      </c>
      <c r="AK62" s="151" t="s">
        <v>97</v>
      </c>
      <c r="AL62" s="151" t="s">
        <v>97</v>
      </c>
      <c r="AM62" s="151" t="s">
        <v>97</v>
      </c>
      <c r="AN62" s="151" t="s">
        <v>97</v>
      </c>
      <c r="AO62" s="151" t="s">
        <v>97</v>
      </c>
      <c r="AP62" s="151" t="s">
        <v>97</v>
      </c>
      <c r="AQ62" s="151" t="s">
        <v>97</v>
      </c>
      <c r="AR62" s="151" t="s">
        <v>97</v>
      </c>
      <c r="AS62" s="151" t="s">
        <v>624</v>
      </c>
      <c r="AT62" s="151" t="s">
        <v>97</v>
      </c>
      <c r="AU62" s="151" t="s">
        <v>97</v>
      </c>
      <c r="AV62" s="151" t="s">
        <v>97</v>
      </c>
      <c r="AW62" s="151" t="s">
        <v>97</v>
      </c>
      <c r="AX62" s="151" t="s">
        <v>97</v>
      </c>
      <c r="AY62" s="151" t="s">
        <v>97</v>
      </c>
      <c r="AZ62" s="151" t="s">
        <v>97</v>
      </c>
      <c r="BA62" s="151" t="s">
        <v>97</v>
      </c>
      <c r="BB62" s="151" t="s">
        <v>97</v>
      </c>
      <c r="BC62" s="151" t="s">
        <v>97</v>
      </c>
      <c r="BD62" s="151" t="s">
        <v>97</v>
      </c>
      <c r="BE62" s="151" t="s">
        <v>97</v>
      </c>
      <c r="BF62" s="151" t="s">
        <v>97</v>
      </c>
      <c r="BG62" s="151" t="s">
        <v>97</v>
      </c>
      <c r="BH62" s="151" t="s">
        <v>97</v>
      </c>
      <c r="BI62" s="151" t="s">
        <v>515</v>
      </c>
      <c r="BJ62" s="151" t="s">
        <v>97</v>
      </c>
      <c r="BK62" s="151" t="s">
        <v>97</v>
      </c>
      <c r="BL62" s="151" t="s">
        <v>97</v>
      </c>
      <c r="BM62" s="151" t="s">
        <v>97</v>
      </c>
      <c r="BN62" s="151" t="s">
        <v>97</v>
      </c>
      <c r="BO62" s="151" t="s">
        <v>97</v>
      </c>
      <c r="BP62" s="151" t="s">
        <v>97</v>
      </c>
      <c r="BQ62" s="151" t="s">
        <v>97</v>
      </c>
      <c r="BR62" s="151" t="s">
        <v>97</v>
      </c>
      <c r="BS62" s="151" t="s">
        <v>97</v>
      </c>
      <c r="BT62" s="151" t="s">
        <v>97</v>
      </c>
      <c r="BU62" s="151" t="s">
        <v>97</v>
      </c>
      <c r="BV62" s="151" t="s">
        <v>97</v>
      </c>
      <c r="BW62" s="151" t="s">
        <v>97</v>
      </c>
      <c r="BX62" s="151" t="s">
        <v>97</v>
      </c>
      <c r="BY62" s="151" t="s">
        <v>97</v>
      </c>
      <c r="BZ62" s="151" t="s">
        <v>97</v>
      </c>
      <c r="CA62" s="151" t="s">
        <v>97</v>
      </c>
      <c r="CB62" s="151" t="s">
        <v>97</v>
      </c>
      <c r="CC62" s="151" t="s">
        <v>97</v>
      </c>
      <c r="CD62" s="151" t="s">
        <v>97</v>
      </c>
      <c r="CE62" s="151" t="s">
        <v>97</v>
      </c>
      <c r="CF62" s="151" t="s">
        <v>97</v>
      </c>
      <c r="CG62" s="151" t="s">
        <v>97</v>
      </c>
      <c r="CH62" s="151" t="s">
        <v>97</v>
      </c>
      <c r="CI62" s="151" t="s">
        <v>97</v>
      </c>
      <c r="CJ62" s="151" t="s">
        <v>97</v>
      </c>
      <c r="CK62" s="151" t="s">
        <v>97</v>
      </c>
      <c r="CL62" s="151" t="s">
        <v>97</v>
      </c>
      <c r="CM62" s="151" t="s">
        <v>97</v>
      </c>
      <c r="CN62" s="151" t="s">
        <v>97</v>
      </c>
      <c r="CO62" s="151" t="s">
        <v>97</v>
      </c>
      <c r="CP62" s="151" t="s">
        <v>97</v>
      </c>
      <c r="CQ62" s="151" t="s">
        <v>97</v>
      </c>
      <c r="CR62" s="151" t="s">
        <v>97</v>
      </c>
      <c r="CS62" s="151" t="s">
        <v>97</v>
      </c>
      <c r="CT62" s="151" t="s">
        <v>97</v>
      </c>
      <c r="CU62" s="151" t="s">
        <v>97</v>
      </c>
      <c r="CV62" s="151" t="s">
        <v>97</v>
      </c>
      <c r="CW62" s="151" t="s">
        <v>97</v>
      </c>
      <c r="CX62" s="151" t="s">
        <v>97</v>
      </c>
      <c r="CY62" s="151" t="s">
        <v>88</v>
      </c>
      <c r="CZ62" s="151" t="s">
        <v>97</v>
      </c>
      <c r="DA62" s="151" t="s">
        <v>97</v>
      </c>
      <c r="DB62" s="151" t="s">
        <v>97</v>
      </c>
      <c r="DC62" s="151" t="s">
        <v>97</v>
      </c>
      <c r="DD62" s="151" t="s">
        <v>97</v>
      </c>
      <c r="DE62" s="152" t="s">
        <v>97</v>
      </c>
      <c r="DF62" s="152" t="s">
        <v>90</v>
      </c>
      <c r="DG62" s="152" t="s">
        <v>97</v>
      </c>
      <c r="DH62" s="152" t="s">
        <v>97</v>
      </c>
      <c r="DI62" s="152" t="s">
        <v>97</v>
      </c>
      <c r="DJ62" s="152" t="s">
        <v>97</v>
      </c>
      <c r="DK62" s="152" t="s">
        <v>97</v>
      </c>
      <c r="DL62" s="152" t="s">
        <v>97</v>
      </c>
      <c r="DM62" s="152" t="s">
        <v>97</v>
      </c>
      <c r="DN62" s="152" t="s">
        <v>97</v>
      </c>
      <c r="DO62" s="156" t="s">
        <v>97</v>
      </c>
      <c r="DP62" s="153" t="s">
        <v>97</v>
      </c>
      <c r="DW62" s="219" t="s">
        <v>97</v>
      </c>
      <c r="DX62" s="153" t="s">
        <v>97</v>
      </c>
      <c r="DY62" s="153" t="s">
        <v>97</v>
      </c>
      <c r="DZ62" s="153" t="s">
        <v>97</v>
      </c>
    </row>
    <row r="63" spans="1:130" s="5" customFormat="1" outlineLevel="1">
      <c r="A63" s="656"/>
      <c r="B63" s="84" t="str">
        <f t="shared" si="7"/>
        <v xml:space="preserve"> </v>
      </c>
      <c r="C63" s="84" t="str">
        <f t="shared" si="6"/>
        <v xml:space="preserve"> </v>
      </c>
      <c r="D63" s="84" t="str">
        <f t="shared" si="8"/>
        <v xml:space="preserve"> </v>
      </c>
      <c r="E63" s="84" t="str">
        <f t="shared" si="9"/>
        <v xml:space="preserve"> </v>
      </c>
      <c r="F63" s="647"/>
      <c r="G63" s="64" t="s">
        <v>97</v>
      </c>
      <c r="H63" s="151" t="s">
        <v>97</v>
      </c>
      <c r="I63" s="151" t="s">
        <v>97</v>
      </c>
      <c r="J63" s="151" t="s">
        <v>97</v>
      </c>
      <c r="K63" s="151" t="s">
        <v>97</v>
      </c>
      <c r="L63" s="151" t="s">
        <v>97</v>
      </c>
      <c r="M63" s="151" t="s">
        <v>97</v>
      </c>
      <c r="N63" s="151" t="s">
        <v>97</v>
      </c>
      <c r="O63" s="151" t="s">
        <v>97</v>
      </c>
      <c r="P63" s="151" t="s">
        <v>97</v>
      </c>
      <c r="Q63" s="151" t="s">
        <v>97</v>
      </c>
      <c r="R63" s="151" t="s">
        <v>97</v>
      </c>
      <c r="S63" s="151" t="s">
        <v>97</v>
      </c>
      <c r="T63" s="151" t="s">
        <v>97</v>
      </c>
      <c r="U63" s="151" t="s">
        <v>97</v>
      </c>
      <c r="V63" s="151" t="s">
        <v>97</v>
      </c>
      <c r="W63" s="151" t="s">
        <v>97</v>
      </c>
      <c r="X63" s="151" t="s">
        <v>97</v>
      </c>
      <c r="Y63" s="151" t="s">
        <v>97</v>
      </c>
      <c r="Z63" s="151" t="s">
        <v>97</v>
      </c>
      <c r="AA63" s="151" t="s">
        <v>97</v>
      </c>
      <c r="AB63" s="151" t="s">
        <v>97</v>
      </c>
      <c r="AC63" s="151" t="s">
        <v>97</v>
      </c>
      <c r="AD63" s="151" t="s">
        <v>97</v>
      </c>
      <c r="AE63" s="151" t="s">
        <v>97</v>
      </c>
      <c r="AF63" s="151" t="s">
        <v>97</v>
      </c>
      <c r="AG63" s="151" t="s">
        <v>97</v>
      </c>
      <c r="AH63" s="151" t="s">
        <v>97</v>
      </c>
      <c r="AI63" s="151" t="s">
        <v>97</v>
      </c>
      <c r="AJ63" s="151" t="s">
        <v>97</v>
      </c>
      <c r="AK63" s="151" t="s">
        <v>97</v>
      </c>
      <c r="AL63" s="151" t="s">
        <v>97</v>
      </c>
      <c r="AM63" s="151" t="s">
        <v>97</v>
      </c>
      <c r="AN63" s="151" t="s">
        <v>97</v>
      </c>
      <c r="AO63" s="151" t="s">
        <v>97</v>
      </c>
      <c r="AP63" s="151" t="s">
        <v>97</v>
      </c>
      <c r="AQ63" s="151" t="s">
        <v>97</v>
      </c>
      <c r="AR63" s="151" t="s">
        <v>97</v>
      </c>
      <c r="AS63" s="151" t="s">
        <v>503</v>
      </c>
      <c r="AT63" s="151" t="s">
        <v>97</v>
      </c>
      <c r="AU63" s="151" t="s">
        <v>97</v>
      </c>
      <c r="AV63" s="151" t="s">
        <v>97</v>
      </c>
      <c r="AW63" s="151" t="s">
        <v>97</v>
      </c>
      <c r="AX63" s="151" t="s">
        <v>97</v>
      </c>
      <c r="AY63" s="151" t="s">
        <v>97</v>
      </c>
      <c r="AZ63" s="151" t="s">
        <v>97</v>
      </c>
      <c r="BA63" s="151" t="s">
        <v>97</v>
      </c>
      <c r="BB63" s="151" t="s">
        <v>97</v>
      </c>
      <c r="BC63" s="151" t="s">
        <v>97</v>
      </c>
      <c r="BD63" s="151" t="s">
        <v>97</v>
      </c>
      <c r="BE63" s="151" t="s">
        <v>97</v>
      </c>
      <c r="BF63" s="151" t="s">
        <v>97</v>
      </c>
      <c r="BG63" s="151" t="s">
        <v>97</v>
      </c>
      <c r="BH63" s="151" t="s">
        <v>97</v>
      </c>
      <c r="BI63" s="151" t="s">
        <v>97</v>
      </c>
      <c r="BJ63" s="151" t="s">
        <v>97</v>
      </c>
      <c r="BK63" s="151" t="s">
        <v>97</v>
      </c>
      <c r="BL63" s="151" t="s">
        <v>97</v>
      </c>
      <c r="BM63" s="151" t="s">
        <v>97</v>
      </c>
      <c r="BN63" s="151" t="s">
        <v>97</v>
      </c>
      <c r="BO63" s="151" t="s">
        <v>97</v>
      </c>
      <c r="BP63" s="151" t="s">
        <v>97</v>
      </c>
      <c r="BQ63" s="151" t="s">
        <v>97</v>
      </c>
      <c r="BR63" s="151" t="s">
        <v>97</v>
      </c>
      <c r="BS63" s="151" t="s">
        <v>97</v>
      </c>
      <c r="BT63" s="151" t="s">
        <v>97</v>
      </c>
      <c r="BU63" s="151" t="s">
        <v>97</v>
      </c>
      <c r="BV63" s="151" t="s">
        <v>97</v>
      </c>
      <c r="BW63" s="151" t="s">
        <v>97</v>
      </c>
      <c r="BX63" s="151" t="s">
        <v>97</v>
      </c>
      <c r="BY63" s="151" t="s">
        <v>97</v>
      </c>
      <c r="BZ63" s="151" t="s">
        <v>97</v>
      </c>
      <c r="CA63" s="151" t="s">
        <v>97</v>
      </c>
      <c r="CB63" s="151" t="s">
        <v>97</v>
      </c>
      <c r="CC63" s="151" t="s">
        <v>97</v>
      </c>
      <c r="CD63" s="151" t="s">
        <v>97</v>
      </c>
      <c r="CE63" s="151" t="s">
        <v>97</v>
      </c>
      <c r="CF63" s="151" t="s">
        <v>97</v>
      </c>
      <c r="CG63" s="151" t="s">
        <v>97</v>
      </c>
      <c r="CH63" s="151" t="s">
        <v>97</v>
      </c>
      <c r="CI63" s="151" t="s">
        <v>97</v>
      </c>
      <c r="CJ63" s="151" t="s">
        <v>97</v>
      </c>
      <c r="CK63" s="151" t="s">
        <v>97</v>
      </c>
      <c r="CL63" s="151" t="s">
        <v>97</v>
      </c>
      <c r="CM63" s="151" t="s">
        <v>97</v>
      </c>
      <c r="CN63" s="151" t="s">
        <v>97</v>
      </c>
      <c r="CO63" s="151" t="s">
        <v>97</v>
      </c>
      <c r="CP63" s="151" t="s">
        <v>97</v>
      </c>
      <c r="CQ63" s="151" t="s">
        <v>97</v>
      </c>
      <c r="CR63" s="151" t="s">
        <v>97</v>
      </c>
      <c r="CS63" s="151" t="s">
        <v>97</v>
      </c>
      <c r="CT63" s="151" t="s">
        <v>97</v>
      </c>
      <c r="CU63" s="151" t="s">
        <v>97</v>
      </c>
      <c r="CV63" s="151" t="s">
        <v>97</v>
      </c>
      <c r="CW63" s="151" t="s">
        <v>97</v>
      </c>
      <c r="CX63" s="151" t="s">
        <v>97</v>
      </c>
      <c r="CY63" s="151" t="s">
        <v>621</v>
      </c>
      <c r="CZ63" s="151" t="s">
        <v>97</v>
      </c>
      <c r="DA63" s="151" t="s">
        <v>97</v>
      </c>
      <c r="DB63" s="151" t="s">
        <v>97</v>
      </c>
      <c r="DC63" s="151" t="s">
        <v>97</v>
      </c>
      <c r="DD63" s="151" t="s">
        <v>97</v>
      </c>
      <c r="DE63" s="152" t="s">
        <v>97</v>
      </c>
      <c r="DF63" s="152" t="s">
        <v>97</v>
      </c>
      <c r="DG63" s="152" t="s">
        <v>97</v>
      </c>
      <c r="DH63" s="152" t="s">
        <v>97</v>
      </c>
      <c r="DI63" s="152" t="s">
        <v>97</v>
      </c>
      <c r="DJ63" s="152" t="s">
        <v>97</v>
      </c>
      <c r="DK63" s="152" t="s">
        <v>97</v>
      </c>
      <c r="DL63" s="152" t="s">
        <v>97</v>
      </c>
      <c r="DM63" s="152" t="s">
        <v>97</v>
      </c>
      <c r="DN63" s="152" t="s">
        <v>97</v>
      </c>
      <c r="DO63" s="156" t="s">
        <v>97</v>
      </c>
      <c r="DP63" s="153" t="s">
        <v>97</v>
      </c>
      <c r="DW63" s="219" t="s">
        <v>97</v>
      </c>
      <c r="DX63" s="153" t="s">
        <v>97</v>
      </c>
      <c r="DY63" s="153" t="s">
        <v>97</v>
      </c>
      <c r="DZ63" s="153" t="s">
        <v>97</v>
      </c>
    </row>
    <row r="64" spans="1:130" s="5" customFormat="1" outlineLevel="1">
      <c r="A64" s="656"/>
      <c r="B64" s="84" t="str">
        <f t="shared" si="7"/>
        <v xml:space="preserve"> </v>
      </c>
      <c r="C64" s="84" t="str">
        <f t="shared" si="6"/>
        <v xml:space="preserve"> </v>
      </c>
      <c r="D64" s="84" t="str">
        <f t="shared" si="8"/>
        <v xml:space="preserve"> </v>
      </c>
      <c r="E64" s="84" t="str">
        <f t="shared" si="9"/>
        <v xml:space="preserve"> </v>
      </c>
      <c r="F64" s="647"/>
      <c r="G64" s="64" t="s">
        <v>97</v>
      </c>
      <c r="H64" s="151" t="s">
        <v>97</v>
      </c>
      <c r="I64" s="151" t="s">
        <v>97</v>
      </c>
      <c r="J64" s="151" t="s">
        <v>97</v>
      </c>
      <c r="K64" s="151" t="s">
        <v>97</v>
      </c>
      <c r="L64" s="151" t="s">
        <v>97</v>
      </c>
      <c r="M64" s="151" t="s">
        <v>97</v>
      </c>
      <c r="N64" s="151" t="s">
        <v>97</v>
      </c>
      <c r="O64" s="151" t="s">
        <v>97</v>
      </c>
      <c r="P64" s="151" t="s">
        <v>97</v>
      </c>
      <c r="Q64" s="151" t="s">
        <v>97</v>
      </c>
      <c r="R64" s="151" t="s">
        <v>97</v>
      </c>
      <c r="S64" s="151" t="s">
        <v>97</v>
      </c>
      <c r="T64" s="151" t="s">
        <v>97</v>
      </c>
      <c r="U64" s="151" t="s">
        <v>97</v>
      </c>
      <c r="V64" s="151" t="s">
        <v>97</v>
      </c>
      <c r="W64" s="151" t="s">
        <v>97</v>
      </c>
      <c r="X64" s="151" t="s">
        <v>97</v>
      </c>
      <c r="Y64" s="151" t="s">
        <v>97</v>
      </c>
      <c r="Z64" s="151" t="s">
        <v>97</v>
      </c>
      <c r="AA64" s="151" t="s">
        <v>97</v>
      </c>
      <c r="AB64" s="151" t="s">
        <v>97</v>
      </c>
      <c r="AC64" s="151" t="s">
        <v>97</v>
      </c>
      <c r="AD64" s="151" t="s">
        <v>97</v>
      </c>
      <c r="AE64" s="151" t="s">
        <v>97</v>
      </c>
      <c r="AF64" s="151" t="s">
        <v>97</v>
      </c>
      <c r="AG64" s="151" t="s">
        <v>97</v>
      </c>
      <c r="AH64" s="151" t="s">
        <v>97</v>
      </c>
      <c r="AI64" s="151" t="s">
        <v>97</v>
      </c>
      <c r="AJ64" s="151" t="s">
        <v>97</v>
      </c>
      <c r="AK64" s="151" t="s">
        <v>97</v>
      </c>
      <c r="AL64" s="151" t="s">
        <v>97</v>
      </c>
      <c r="AM64" s="151" t="s">
        <v>97</v>
      </c>
      <c r="AN64" s="151" t="s">
        <v>97</v>
      </c>
      <c r="AO64" s="151" t="s">
        <v>97</v>
      </c>
      <c r="AP64" s="151" t="s">
        <v>97</v>
      </c>
      <c r="AQ64" s="151" t="s">
        <v>97</v>
      </c>
      <c r="AR64" s="151" t="s">
        <v>97</v>
      </c>
      <c r="AS64" s="151" t="s">
        <v>515</v>
      </c>
      <c r="AT64" s="151" t="s">
        <v>97</v>
      </c>
      <c r="AU64" s="151" t="s">
        <v>97</v>
      </c>
      <c r="AV64" s="151" t="s">
        <v>97</v>
      </c>
      <c r="AW64" s="151" t="s">
        <v>97</v>
      </c>
      <c r="AX64" s="151" t="s">
        <v>97</v>
      </c>
      <c r="AY64" s="151" t="s">
        <v>97</v>
      </c>
      <c r="AZ64" s="151" t="s">
        <v>97</v>
      </c>
      <c r="BA64" s="151" t="s">
        <v>97</v>
      </c>
      <c r="BB64" s="151" t="s">
        <v>97</v>
      </c>
      <c r="BC64" s="151" t="s">
        <v>97</v>
      </c>
      <c r="BD64" s="151" t="s">
        <v>97</v>
      </c>
      <c r="BE64" s="151" t="s">
        <v>97</v>
      </c>
      <c r="BF64" s="151" t="s">
        <v>97</v>
      </c>
      <c r="BG64" s="151" t="s">
        <v>97</v>
      </c>
      <c r="BH64" s="151" t="s">
        <v>97</v>
      </c>
      <c r="BI64" s="151" t="s">
        <v>97</v>
      </c>
      <c r="BJ64" s="151" t="s">
        <v>97</v>
      </c>
      <c r="BK64" s="151" t="s">
        <v>97</v>
      </c>
      <c r="BL64" s="151" t="s">
        <v>97</v>
      </c>
      <c r="BM64" s="151" t="s">
        <v>97</v>
      </c>
      <c r="BN64" s="151" t="s">
        <v>97</v>
      </c>
      <c r="BO64" s="151" t="s">
        <v>97</v>
      </c>
      <c r="BP64" s="151" t="s">
        <v>97</v>
      </c>
      <c r="BQ64" s="151" t="s">
        <v>97</v>
      </c>
      <c r="BR64" s="151" t="s">
        <v>97</v>
      </c>
      <c r="BS64" s="151" t="s">
        <v>97</v>
      </c>
      <c r="BT64" s="151" t="s">
        <v>97</v>
      </c>
      <c r="BU64" s="151" t="s">
        <v>97</v>
      </c>
      <c r="BV64" s="151" t="s">
        <v>97</v>
      </c>
      <c r="BW64" s="151" t="s">
        <v>97</v>
      </c>
      <c r="BX64" s="151" t="s">
        <v>97</v>
      </c>
      <c r="BY64" s="151" t="s">
        <v>97</v>
      </c>
      <c r="BZ64" s="151" t="s">
        <v>97</v>
      </c>
      <c r="CA64" s="151" t="s">
        <v>97</v>
      </c>
      <c r="CB64" s="151" t="s">
        <v>97</v>
      </c>
      <c r="CC64" s="151" t="s">
        <v>97</v>
      </c>
      <c r="CD64" s="151" t="s">
        <v>97</v>
      </c>
      <c r="CE64" s="151" t="s">
        <v>97</v>
      </c>
      <c r="CF64" s="151" t="s">
        <v>97</v>
      </c>
      <c r="CG64" s="151" t="s">
        <v>97</v>
      </c>
      <c r="CH64" s="151" t="s">
        <v>97</v>
      </c>
      <c r="CI64" s="151" t="s">
        <v>97</v>
      </c>
      <c r="CJ64" s="151" t="s">
        <v>97</v>
      </c>
      <c r="CK64" s="151" t="s">
        <v>97</v>
      </c>
      <c r="CL64" s="151" t="s">
        <v>97</v>
      </c>
      <c r="CM64" s="151" t="s">
        <v>97</v>
      </c>
      <c r="CN64" s="151" t="s">
        <v>97</v>
      </c>
      <c r="CO64" s="151" t="s">
        <v>97</v>
      </c>
      <c r="CP64" s="151" t="s">
        <v>97</v>
      </c>
      <c r="CQ64" s="151" t="s">
        <v>97</v>
      </c>
      <c r="CR64" s="151" t="s">
        <v>97</v>
      </c>
      <c r="CS64" s="151" t="s">
        <v>97</v>
      </c>
      <c r="CT64" s="151" t="s">
        <v>97</v>
      </c>
      <c r="CU64" s="151" t="s">
        <v>97</v>
      </c>
      <c r="CV64" s="151" t="s">
        <v>97</v>
      </c>
      <c r="CW64" s="151" t="s">
        <v>97</v>
      </c>
      <c r="CX64" s="151" t="s">
        <v>97</v>
      </c>
      <c r="CY64" s="151" t="s">
        <v>97</v>
      </c>
      <c r="CZ64" s="151" t="s">
        <v>97</v>
      </c>
      <c r="DA64" s="151" t="s">
        <v>97</v>
      </c>
      <c r="DB64" s="151" t="s">
        <v>97</v>
      </c>
      <c r="DC64" s="151" t="s">
        <v>97</v>
      </c>
      <c r="DD64" s="151" t="s">
        <v>97</v>
      </c>
      <c r="DE64" s="152" t="s">
        <v>97</v>
      </c>
      <c r="DF64" s="152" t="s">
        <v>97</v>
      </c>
      <c r="DG64" s="152" t="s">
        <v>97</v>
      </c>
      <c r="DH64" s="152" t="s">
        <v>97</v>
      </c>
      <c r="DI64" s="152" t="s">
        <v>97</v>
      </c>
      <c r="DJ64" s="152" t="s">
        <v>97</v>
      </c>
      <c r="DK64" s="152" t="s">
        <v>97</v>
      </c>
      <c r="DL64" s="152" t="s">
        <v>97</v>
      </c>
      <c r="DM64" s="152" t="s">
        <v>97</v>
      </c>
      <c r="DN64" s="152" t="s">
        <v>97</v>
      </c>
      <c r="DO64" s="156" t="s">
        <v>97</v>
      </c>
      <c r="DP64" s="153" t="s">
        <v>97</v>
      </c>
      <c r="DW64" s="219" t="s">
        <v>97</v>
      </c>
      <c r="DX64" s="153" t="s">
        <v>97</v>
      </c>
      <c r="DY64" s="153" t="s">
        <v>97</v>
      </c>
      <c r="DZ64" s="153" t="s">
        <v>97</v>
      </c>
    </row>
    <row r="65" spans="1:130" s="5" customFormat="1" outlineLevel="1">
      <c r="A65" s="656"/>
      <c r="B65" s="84" t="str">
        <f t="shared" si="7"/>
        <v xml:space="preserve"> </v>
      </c>
      <c r="C65" s="84" t="str">
        <f t="shared" si="6"/>
        <v xml:space="preserve"> </v>
      </c>
      <c r="D65" s="84" t="str">
        <f t="shared" si="8"/>
        <v xml:space="preserve"> </v>
      </c>
      <c r="E65" s="84" t="str">
        <f t="shared" si="9"/>
        <v xml:space="preserve"> </v>
      </c>
      <c r="F65" s="647"/>
      <c r="G65" s="64" t="s">
        <v>97</v>
      </c>
      <c r="H65" s="151" t="s">
        <v>97</v>
      </c>
      <c r="I65" s="151" t="s">
        <v>97</v>
      </c>
      <c r="J65" s="151" t="s">
        <v>97</v>
      </c>
      <c r="K65" s="151" t="s">
        <v>97</v>
      </c>
      <c r="L65" s="151" t="s">
        <v>97</v>
      </c>
      <c r="M65" s="151" t="s">
        <v>97</v>
      </c>
      <c r="N65" s="151" t="s">
        <v>97</v>
      </c>
      <c r="O65" s="151" t="s">
        <v>97</v>
      </c>
      <c r="P65" s="151" t="s">
        <v>97</v>
      </c>
      <c r="Q65" s="151" t="s">
        <v>97</v>
      </c>
      <c r="R65" s="151" t="s">
        <v>97</v>
      </c>
      <c r="S65" s="151" t="s">
        <v>97</v>
      </c>
      <c r="T65" s="151" t="s">
        <v>97</v>
      </c>
      <c r="U65" s="151" t="s">
        <v>97</v>
      </c>
      <c r="V65" s="151" t="s">
        <v>97</v>
      </c>
      <c r="W65" s="151" t="s">
        <v>97</v>
      </c>
      <c r="X65" s="151" t="s">
        <v>97</v>
      </c>
      <c r="Y65" s="151" t="s">
        <v>97</v>
      </c>
      <c r="Z65" s="151" t="s">
        <v>97</v>
      </c>
      <c r="AA65" s="151" t="s">
        <v>97</v>
      </c>
      <c r="AB65" s="151" t="s">
        <v>97</v>
      </c>
      <c r="AC65" s="151" t="s">
        <v>97</v>
      </c>
      <c r="AD65" s="151" t="s">
        <v>97</v>
      </c>
      <c r="AE65" s="151" t="s">
        <v>97</v>
      </c>
      <c r="AF65" s="151" t="s">
        <v>97</v>
      </c>
      <c r="AG65" s="151" t="s">
        <v>97</v>
      </c>
      <c r="AH65" s="151" t="s">
        <v>97</v>
      </c>
      <c r="AI65" s="151" t="s">
        <v>97</v>
      </c>
      <c r="AJ65" s="151" t="s">
        <v>97</v>
      </c>
      <c r="AK65" s="151" t="s">
        <v>97</v>
      </c>
      <c r="AL65" s="151" t="s">
        <v>97</v>
      </c>
      <c r="AM65" s="151" t="s">
        <v>97</v>
      </c>
      <c r="AN65" s="151" t="s">
        <v>97</v>
      </c>
      <c r="AO65" s="151" t="s">
        <v>97</v>
      </c>
      <c r="AP65" s="151" t="s">
        <v>97</v>
      </c>
      <c r="AQ65" s="151" t="s">
        <v>97</v>
      </c>
      <c r="AR65" s="151" t="s">
        <v>97</v>
      </c>
      <c r="AS65" s="151" t="s">
        <v>90</v>
      </c>
      <c r="AT65" s="151" t="s">
        <v>97</v>
      </c>
      <c r="AU65" s="151" t="s">
        <v>97</v>
      </c>
      <c r="AV65" s="151" t="s">
        <v>97</v>
      </c>
      <c r="AW65" s="151" t="s">
        <v>97</v>
      </c>
      <c r="AX65" s="151" t="s">
        <v>97</v>
      </c>
      <c r="AY65" s="151" t="s">
        <v>97</v>
      </c>
      <c r="AZ65" s="151" t="s">
        <v>97</v>
      </c>
      <c r="BA65" s="151" t="s">
        <v>97</v>
      </c>
      <c r="BB65" s="151" t="s">
        <v>97</v>
      </c>
      <c r="BC65" s="151" t="s">
        <v>97</v>
      </c>
      <c r="BD65" s="151" t="s">
        <v>97</v>
      </c>
      <c r="BE65" s="151" t="s">
        <v>97</v>
      </c>
      <c r="BF65" s="151" t="s">
        <v>97</v>
      </c>
      <c r="BG65" s="151" t="s">
        <v>97</v>
      </c>
      <c r="BH65" s="151" t="s">
        <v>97</v>
      </c>
      <c r="BI65" s="151" t="s">
        <v>97</v>
      </c>
      <c r="BJ65" s="151" t="s">
        <v>97</v>
      </c>
      <c r="BK65" s="151" t="s">
        <v>97</v>
      </c>
      <c r="BL65" s="151" t="s">
        <v>97</v>
      </c>
      <c r="BM65" s="151" t="s">
        <v>97</v>
      </c>
      <c r="BN65" s="151" t="s">
        <v>97</v>
      </c>
      <c r="BO65" s="151" t="s">
        <v>97</v>
      </c>
      <c r="BP65" s="151" t="s">
        <v>97</v>
      </c>
      <c r="BQ65" s="151" t="s">
        <v>97</v>
      </c>
      <c r="BR65" s="151" t="s">
        <v>97</v>
      </c>
      <c r="BS65" s="151" t="s">
        <v>97</v>
      </c>
      <c r="BT65" s="151" t="s">
        <v>97</v>
      </c>
      <c r="BU65" s="151" t="s">
        <v>97</v>
      </c>
      <c r="BV65" s="151" t="s">
        <v>97</v>
      </c>
      <c r="BW65" s="151" t="s">
        <v>97</v>
      </c>
      <c r="BX65" s="151" t="s">
        <v>97</v>
      </c>
      <c r="BY65" s="151" t="s">
        <v>97</v>
      </c>
      <c r="BZ65" s="151" t="s">
        <v>97</v>
      </c>
      <c r="CA65" s="151" t="s">
        <v>97</v>
      </c>
      <c r="CB65" s="151" t="s">
        <v>97</v>
      </c>
      <c r="CC65" s="151" t="s">
        <v>97</v>
      </c>
      <c r="CD65" s="151" t="s">
        <v>97</v>
      </c>
      <c r="CE65" s="151" t="s">
        <v>97</v>
      </c>
      <c r="CF65" s="151" t="s">
        <v>97</v>
      </c>
      <c r="CG65" s="151" t="s">
        <v>97</v>
      </c>
      <c r="CH65" s="151" t="s">
        <v>97</v>
      </c>
      <c r="CI65" s="151" t="s">
        <v>97</v>
      </c>
      <c r="CJ65" s="151" t="s">
        <v>97</v>
      </c>
      <c r="CK65" s="151" t="s">
        <v>97</v>
      </c>
      <c r="CL65" s="151" t="s">
        <v>97</v>
      </c>
      <c r="CM65" s="151" t="s">
        <v>97</v>
      </c>
      <c r="CN65" s="151" t="s">
        <v>97</v>
      </c>
      <c r="CO65" s="151" t="s">
        <v>97</v>
      </c>
      <c r="CP65" s="151" t="s">
        <v>97</v>
      </c>
      <c r="CQ65" s="151" t="s">
        <v>97</v>
      </c>
      <c r="CR65" s="151" t="s">
        <v>97</v>
      </c>
      <c r="CS65" s="151" t="s">
        <v>97</v>
      </c>
      <c r="CT65" s="151" t="s">
        <v>97</v>
      </c>
      <c r="CU65" s="151" t="s">
        <v>97</v>
      </c>
      <c r="CV65" s="151" t="s">
        <v>97</v>
      </c>
      <c r="CW65" s="151" t="s">
        <v>97</v>
      </c>
      <c r="CX65" s="151" t="s">
        <v>97</v>
      </c>
      <c r="CY65" s="151" t="s">
        <v>97</v>
      </c>
      <c r="CZ65" s="151" t="s">
        <v>97</v>
      </c>
      <c r="DA65" s="151" t="s">
        <v>97</v>
      </c>
      <c r="DB65" s="151" t="s">
        <v>97</v>
      </c>
      <c r="DC65" s="151" t="s">
        <v>97</v>
      </c>
      <c r="DD65" s="151" t="s">
        <v>97</v>
      </c>
      <c r="DE65" s="152" t="s">
        <v>97</v>
      </c>
      <c r="DF65" s="152" t="s">
        <v>97</v>
      </c>
      <c r="DG65" s="152" t="s">
        <v>97</v>
      </c>
      <c r="DH65" s="152" t="s">
        <v>97</v>
      </c>
      <c r="DI65" s="152" t="s">
        <v>97</v>
      </c>
      <c r="DJ65" s="152" t="s">
        <v>97</v>
      </c>
      <c r="DK65" s="152" t="s">
        <v>97</v>
      </c>
      <c r="DL65" s="152" t="s">
        <v>97</v>
      </c>
      <c r="DM65" s="152" t="s">
        <v>97</v>
      </c>
      <c r="DN65" s="152" t="s">
        <v>97</v>
      </c>
      <c r="DO65" s="156" t="s">
        <v>97</v>
      </c>
      <c r="DP65" s="153" t="s">
        <v>97</v>
      </c>
      <c r="DW65" s="219" t="s">
        <v>97</v>
      </c>
      <c r="DX65" s="153" t="s">
        <v>97</v>
      </c>
      <c r="DY65" s="153" t="s">
        <v>97</v>
      </c>
      <c r="DZ65" s="153" t="s">
        <v>97</v>
      </c>
    </row>
    <row r="66" spans="1:130" s="5" customFormat="1" outlineLevel="1">
      <c r="A66" s="656"/>
      <c r="B66" s="84" t="str">
        <f t="shared" si="7"/>
        <v xml:space="preserve"> </v>
      </c>
      <c r="C66" s="84" t="str">
        <f t="shared" ref="C66:C97" si="10">LOOKUP(Carriere1,$G$1:$DP$1,$G66:$DP66)</f>
        <v xml:space="preserve"> </v>
      </c>
      <c r="D66" s="84" t="str">
        <f t="shared" si="8"/>
        <v xml:space="preserve"> </v>
      </c>
      <c r="E66" s="84" t="str">
        <f t="shared" si="9"/>
        <v xml:space="preserve"> </v>
      </c>
      <c r="F66" s="647"/>
      <c r="G66" s="64" t="s">
        <v>97</v>
      </c>
      <c r="H66" s="151" t="s">
        <v>97</v>
      </c>
      <c r="I66" s="151" t="s">
        <v>97</v>
      </c>
      <c r="J66" s="151" t="s">
        <v>97</v>
      </c>
      <c r="K66" s="151" t="s">
        <v>97</v>
      </c>
      <c r="L66" s="151" t="s">
        <v>97</v>
      </c>
      <c r="M66" s="151" t="s">
        <v>97</v>
      </c>
      <c r="N66" s="151" t="s">
        <v>97</v>
      </c>
      <c r="O66" s="151" t="s">
        <v>97</v>
      </c>
      <c r="P66" s="151" t="s">
        <v>97</v>
      </c>
      <c r="Q66" s="151" t="s">
        <v>97</v>
      </c>
      <c r="R66" s="151" t="s">
        <v>97</v>
      </c>
      <c r="S66" s="151" t="s">
        <v>97</v>
      </c>
      <c r="T66" s="151" t="s">
        <v>97</v>
      </c>
      <c r="U66" s="151" t="s">
        <v>97</v>
      </c>
      <c r="V66" s="151" t="s">
        <v>97</v>
      </c>
      <c r="W66" s="151" t="s">
        <v>97</v>
      </c>
      <c r="X66" s="151" t="s">
        <v>97</v>
      </c>
      <c r="Y66" s="151" t="s">
        <v>97</v>
      </c>
      <c r="Z66" s="151" t="s">
        <v>97</v>
      </c>
      <c r="AA66" s="151" t="s">
        <v>97</v>
      </c>
      <c r="AB66" s="151" t="s">
        <v>97</v>
      </c>
      <c r="AC66" s="151" t="s">
        <v>97</v>
      </c>
      <c r="AD66" s="151" t="s">
        <v>97</v>
      </c>
      <c r="AE66" s="151" t="s">
        <v>97</v>
      </c>
      <c r="AF66" s="151" t="s">
        <v>97</v>
      </c>
      <c r="AG66" s="151" t="s">
        <v>97</v>
      </c>
      <c r="AH66" s="151" t="s">
        <v>97</v>
      </c>
      <c r="AI66" s="151" t="s">
        <v>97</v>
      </c>
      <c r="AJ66" s="151" t="s">
        <v>97</v>
      </c>
      <c r="AK66" s="151" t="s">
        <v>97</v>
      </c>
      <c r="AL66" s="151" t="s">
        <v>97</v>
      </c>
      <c r="AM66" s="151" t="s">
        <v>97</v>
      </c>
      <c r="AN66" s="151" t="s">
        <v>97</v>
      </c>
      <c r="AO66" s="151" t="s">
        <v>97</v>
      </c>
      <c r="AP66" s="151" t="s">
        <v>97</v>
      </c>
      <c r="AQ66" s="151" t="s">
        <v>97</v>
      </c>
      <c r="AR66" s="151" t="s">
        <v>97</v>
      </c>
      <c r="AS66" s="151" t="s">
        <v>97</v>
      </c>
      <c r="AT66" s="151" t="s">
        <v>97</v>
      </c>
      <c r="AU66" s="151" t="s">
        <v>97</v>
      </c>
      <c r="AV66" s="151" t="s">
        <v>97</v>
      </c>
      <c r="AW66" s="151" t="s">
        <v>97</v>
      </c>
      <c r="AX66" s="151" t="s">
        <v>97</v>
      </c>
      <c r="AY66" s="151" t="s">
        <v>97</v>
      </c>
      <c r="AZ66" s="151" t="s">
        <v>97</v>
      </c>
      <c r="BA66" s="151" t="s">
        <v>97</v>
      </c>
      <c r="BB66" s="151" t="s">
        <v>97</v>
      </c>
      <c r="BC66" s="151" t="s">
        <v>97</v>
      </c>
      <c r="BD66" s="151" t="s">
        <v>97</v>
      </c>
      <c r="BE66" s="151" t="s">
        <v>97</v>
      </c>
      <c r="BF66" s="151" t="s">
        <v>97</v>
      </c>
      <c r="BG66" s="151" t="s">
        <v>97</v>
      </c>
      <c r="BH66" s="151" t="s">
        <v>97</v>
      </c>
      <c r="BI66" s="151" t="s">
        <v>97</v>
      </c>
      <c r="BJ66" s="151" t="s">
        <v>97</v>
      </c>
      <c r="BK66" s="151" t="s">
        <v>97</v>
      </c>
      <c r="BL66" s="151" t="s">
        <v>97</v>
      </c>
      <c r="BM66" s="151" t="s">
        <v>97</v>
      </c>
      <c r="BN66" s="151" t="s">
        <v>97</v>
      </c>
      <c r="BO66" s="151" t="s">
        <v>97</v>
      </c>
      <c r="BP66" s="151" t="s">
        <v>97</v>
      </c>
      <c r="BQ66" s="151" t="s">
        <v>97</v>
      </c>
      <c r="BR66" s="151" t="s">
        <v>97</v>
      </c>
      <c r="BS66" s="151" t="s">
        <v>97</v>
      </c>
      <c r="BT66" s="151" t="s">
        <v>97</v>
      </c>
      <c r="BU66" s="151" t="s">
        <v>97</v>
      </c>
      <c r="BV66" s="151" t="s">
        <v>97</v>
      </c>
      <c r="BW66" s="151" t="s">
        <v>97</v>
      </c>
      <c r="BX66" s="151" t="s">
        <v>97</v>
      </c>
      <c r="BY66" s="151" t="s">
        <v>97</v>
      </c>
      <c r="BZ66" s="151" t="s">
        <v>97</v>
      </c>
      <c r="CA66" s="151" t="s">
        <v>97</v>
      </c>
      <c r="CB66" s="151" t="s">
        <v>97</v>
      </c>
      <c r="CC66" s="151" t="s">
        <v>97</v>
      </c>
      <c r="CD66" s="151" t="s">
        <v>97</v>
      </c>
      <c r="CE66" s="151" t="s">
        <v>97</v>
      </c>
      <c r="CF66" s="151" t="s">
        <v>97</v>
      </c>
      <c r="CG66" s="151" t="s">
        <v>97</v>
      </c>
      <c r="CH66" s="151" t="s">
        <v>97</v>
      </c>
      <c r="CI66" s="151" t="s">
        <v>97</v>
      </c>
      <c r="CJ66" s="151" t="s">
        <v>97</v>
      </c>
      <c r="CK66" s="151" t="s">
        <v>97</v>
      </c>
      <c r="CL66" s="151" t="s">
        <v>97</v>
      </c>
      <c r="CM66" s="151" t="s">
        <v>97</v>
      </c>
      <c r="CN66" s="151" t="s">
        <v>97</v>
      </c>
      <c r="CO66" s="151" t="s">
        <v>97</v>
      </c>
      <c r="CP66" s="151" t="s">
        <v>97</v>
      </c>
      <c r="CQ66" s="151" t="s">
        <v>97</v>
      </c>
      <c r="CR66" s="151" t="s">
        <v>97</v>
      </c>
      <c r="CS66" s="151" t="s">
        <v>97</v>
      </c>
      <c r="CT66" s="151" t="s">
        <v>97</v>
      </c>
      <c r="CU66" s="151" t="s">
        <v>97</v>
      </c>
      <c r="CV66" s="151" t="s">
        <v>97</v>
      </c>
      <c r="CW66" s="151" t="s">
        <v>97</v>
      </c>
      <c r="CX66" s="151" t="s">
        <v>97</v>
      </c>
      <c r="CY66" s="151" t="s">
        <v>97</v>
      </c>
      <c r="CZ66" s="151" t="s">
        <v>97</v>
      </c>
      <c r="DA66" s="151" t="s">
        <v>97</v>
      </c>
      <c r="DB66" s="151" t="s">
        <v>97</v>
      </c>
      <c r="DC66" s="151" t="s">
        <v>97</v>
      </c>
      <c r="DD66" s="151" t="s">
        <v>97</v>
      </c>
      <c r="DE66" s="152" t="s">
        <v>97</v>
      </c>
      <c r="DF66" s="152" t="s">
        <v>97</v>
      </c>
      <c r="DG66" s="152" t="s">
        <v>97</v>
      </c>
      <c r="DH66" s="152" t="s">
        <v>97</v>
      </c>
      <c r="DI66" s="152" t="s">
        <v>97</v>
      </c>
      <c r="DJ66" s="152" t="s">
        <v>97</v>
      </c>
      <c r="DK66" s="152" t="s">
        <v>97</v>
      </c>
      <c r="DL66" s="152" t="s">
        <v>97</v>
      </c>
      <c r="DM66" s="152" t="s">
        <v>97</v>
      </c>
      <c r="DN66" s="152" t="s">
        <v>97</v>
      </c>
      <c r="DO66" s="156" t="s">
        <v>97</v>
      </c>
      <c r="DP66" s="153" t="s">
        <v>97</v>
      </c>
      <c r="DW66" s="219" t="s">
        <v>97</v>
      </c>
      <c r="DX66" s="153" t="s">
        <v>97</v>
      </c>
      <c r="DY66" s="153" t="s">
        <v>97</v>
      </c>
      <c r="DZ66" s="153" t="s">
        <v>97</v>
      </c>
    </row>
    <row r="67" spans="1:130" s="5" customFormat="1" outlineLevel="1">
      <c r="A67" s="656"/>
      <c r="B67" s="84" t="str">
        <f t="shared" si="7"/>
        <v xml:space="preserve"> </v>
      </c>
      <c r="C67" s="84" t="str">
        <f t="shared" si="10"/>
        <v xml:space="preserve"> </v>
      </c>
      <c r="D67" s="84" t="str">
        <f t="shared" si="8"/>
        <v xml:space="preserve"> </v>
      </c>
      <c r="E67" s="84" t="str">
        <f t="shared" si="9"/>
        <v xml:space="preserve"> </v>
      </c>
      <c r="F67" s="647"/>
      <c r="G67" s="64" t="s">
        <v>97</v>
      </c>
      <c r="H67" s="151" t="s">
        <v>97</v>
      </c>
      <c r="I67" s="151" t="s">
        <v>97</v>
      </c>
      <c r="J67" s="151" t="s">
        <v>97</v>
      </c>
      <c r="K67" s="151" t="s">
        <v>97</v>
      </c>
      <c r="L67" s="151" t="s">
        <v>97</v>
      </c>
      <c r="M67" s="151" t="s">
        <v>97</v>
      </c>
      <c r="N67" s="151" t="s">
        <v>97</v>
      </c>
      <c r="O67" s="151" t="s">
        <v>97</v>
      </c>
      <c r="P67" s="151" t="s">
        <v>97</v>
      </c>
      <c r="Q67" s="151" t="s">
        <v>97</v>
      </c>
      <c r="R67" s="151" t="s">
        <v>97</v>
      </c>
      <c r="S67" s="151" t="s">
        <v>97</v>
      </c>
      <c r="T67" s="151" t="s">
        <v>97</v>
      </c>
      <c r="U67" s="151" t="s">
        <v>97</v>
      </c>
      <c r="V67" s="151" t="s">
        <v>97</v>
      </c>
      <c r="W67" s="151" t="s">
        <v>97</v>
      </c>
      <c r="X67" s="151" t="s">
        <v>97</v>
      </c>
      <c r="Y67" s="151" t="s">
        <v>97</v>
      </c>
      <c r="Z67" s="151" t="s">
        <v>97</v>
      </c>
      <c r="AA67" s="151" t="s">
        <v>97</v>
      </c>
      <c r="AB67" s="151" t="s">
        <v>97</v>
      </c>
      <c r="AC67" s="151" t="s">
        <v>97</v>
      </c>
      <c r="AD67" s="151" t="s">
        <v>97</v>
      </c>
      <c r="AE67" s="151" t="s">
        <v>97</v>
      </c>
      <c r="AF67" s="151" t="s">
        <v>97</v>
      </c>
      <c r="AG67" s="151" t="s">
        <v>97</v>
      </c>
      <c r="AH67" s="151" t="s">
        <v>97</v>
      </c>
      <c r="AI67" s="151" t="s">
        <v>97</v>
      </c>
      <c r="AJ67" s="151" t="s">
        <v>97</v>
      </c>
      <c r="AK67" s="151" t="s">
        <v>97</v>
      </c>
      <c r="AL67" s="151" t="s">
        <v>97</v>
      </c>
      <c r="AM67" s="151" t="s">
        <v>97</v>
      </c>
      <c r="AN67" s="151" t="s">
        <v>97</v>
      </c>
      <c r="AO67" s="151" t="s">
        <v>97</v>
      </c>
      <c r="AP67" s="151" t="s">
        <v>97</v>
      </c>
      <c r="AQ67" s="151" t="s">
        <v>97</v>
      </c>
      <c r="AR67" s="151" t="s">
        <v>97</v>
      </c>
      <c r="AS67" s="151" t="s">
        <v>97</v>
      </c>
      <c r="AT67" s="151" t="s">
        <v>97</v>
      </c>
      <c r="AU67" s="151" t="s">
        <v>97</v>
      </c>
      <c r="AV67" s="151" t="s">
        <v>97</v>
      </c>
      <c r="AW67" s="151" t="s">
        <v>97</v>
      </c>
      <c r="AX67" s="151" t="s">
        <v>97</v>
      </c>
      <c r="AY67" s="151" t="s">
        <v>97</v>
      </c>
      <c r="AZ67" s="151" t="s">
        <v>97</v>
      </c>
      <c r="BA67" s="151" t="s">
        <v>97</v>
      </c>
      <c r="BB67" s="151" t="s">
        <v>97</v>
      </c>
      <c r="BC67" s="151" t="s">
        <v>97</v>
      </c>
      <c r="BD67" s="151" t="s">
        <v>97</v>
      </c>
      <c r="BE67" s="151" t="s">
        <v>97</v>
      </c>
      <c r="BF67" s="151" t="s">
        <v>97</v>
      </c>
      <c r="BG67" s="151" t="s">
        <v>97</v>
      </c>
      <c r="BH67" s="151" t="s">
        <v>97</v>
      </c>
      <c r="BI67" s="151" t="s">
        <v>97</v>
      </c>
      <c r="BJ67" s="151" t="s">
        <v>97</v>
      </c>
      <c r="BK67" s="151" t="s">
        <v>97</v>
      </c>
      <c r="BL67" s="151" t="s">
        <v>97</v>
      </c>
      <c r="BM67" s="151" t="s">
        <v>97</v>
      </c>
      <c r="BN67" s="151" t="s">
        <v>97</v>
      </c>
      <c r="BO67" s="151" t="s">
        <v>97</v>
      </c>
      <c r="BP67" s="151" t="s">
        <v>97</v>
      </c>
      <c r="BQ67" s="151" t="s">
        <v>97</v>
      </c>
      <c r="BR67" s="151" t="s">
        <v>97</v>
      </c>
      <c r="BS67" s="151" t="s">
        <v>97</v>
      </c>
      <c r="BT67" s="151" t="s">
        <v>97</v>
      </c>
      <c r="BU67" s="151" t="s">
        <v>97</v>
      </c>
      <c r="BV67" s="151" t="s">
        <v>97</v>
      </c>
      <c r="BW67" s="151" t="s">
        <v>97</v>
      </c>
      <c r="BX67" s="151" t="s">
        <v>97</v>
      </c>
      <c r="BY67" s="151" t="s">
        <v>97</v>
      </c>
      <c r="BZ67" s="151" t="s">
        <v>97</v>
      </c>
      <c r="CA67" s="151" t="s">
        <v>97</v>
      </c>
      <c r="CB67" s="151" t="s">
        <v>97</v>
      </c>
      <c r="CC67" s="151" t="s">
        <v>97</v>
      </c>
      <c r="CD67" s="151" t="s">
        <v>97</v>
      </c>
      <c r="CE67" s="151" t="s">
        <v>97</v>
      </c>
      <c r="CF67" s="151" t="s">
        <v>97</v>
      </c>
      <c r="CG67" s="151" t="s">
        <v>97</v>
      </c>
      <c r="CH67" s="151" t="s">
        <v>97</v>
      </c>
      <c r="CI67" s="151" t="s">
        <v>97</v>
      </c>
      <c r="CJ67" s="151" t="s">
        <v>97</v>
      </c>
      <c r="CK67" s="151" t="s">
        <v>97</v>
      </c>
      <c r="CL67" s="151" t="s">
        <v>97</v>
      </c>
      <c r="CM67" s="151" t="s">
        <v>97</v>
      </c>
      <c r="CN67" s="151" t="s">
        <v>97</v>
      </c>
      <c r="CO67" s="151" t="s">
        <v>97</v>
      </c>
      <c r="CP67" s="151" t="s">
        <v>97</v>
      </c>
      <c r="CQ67" s="151" t="s">
        <v>97</v>
      </c>
      <c r="CR67" s="151" t="s">
        <v>97</v>
      </c>
      <c r="CS67" s="151" t="s">
        <v>97</v>
      </c>
      <c r="CT67" s="151" t="s">
        <v>97</v>
      </c>
      <c r="CU67" s="151" t="s">
        <v>97</v>
      </c>
      <c r="CV67" s="151" t="s">
        <v>97</v>
      </c>
      <c r="CW67" s="151" t="s">
        <v>97</v>
      </c>
      <c r="CX67" s="151" t="s">
        <v>97</v>
      </c>
      <c r="CY67" s="151" t="s">
        <v>97</v>
      </c>
      <c r="CZ67" s="151" t="s">
        <v>97</v>
      </c>
      <c r="DA67" s="151" t="s">
        <v>97</v>
      </c>
      <c r="DB67" s="151" t="s">
        <v>97</v>
      </c>
      <c r="DC67" s="151" t="s">
        <v>97</v>
      </c>
      <c r="DD67" s="151" t="s">
        <v>97</v>
      </c>
      <c r="DE67" s="152" t="s">
        <v>97</v>
      </c>
      <c r="DF67" s="152" t="s">
        <v>97</v>
      </c>
      <c r="DG67" s="152" t="s">
        <v>97</v>
      </c>
      <c r="DH67" s="152" t="s">
        <v>97</v>
      </c>
      <c r="DI67" s="152" t="s">
        <v>97</v>
      </c>
      <c r="DJ67" s="152" t="s">
        <v>97</v>
      </c>
      <c r="DK67" s="152" t="s">
        <v>97</v>
      </c>
      <c r="DL67" s="152" t="s">
        <v>97</v>
      </c>
      <c r="DM67" s="152" t="s">
        <v>97</v>
      </c>
      <c r="DN67" s="152" t="s">
        <v>97</v>
      </c>
      <c r="DO67" s="156" t="s">
        <v>97</v>
      </c>
      <c r="DP67" s="153" t="s">
        <v>97</v>
      </c>
      <c r="DW67" s="219" t="s">
        <v>97</v>
      </c>
      <c r="DX67" s="153" t="s">
        <v>97</v>
      </c>
      <c r="DY67" s="153" t="s">
        <v>97</v>
      </c>
      <c r="DZ67" s="153" t="s">
        <v>97</v>
      </c>
    </row>
    <row r="68" spans="1:130" s="5" customFormat="1" outlineLevel="1">
      <c r="A68" s="656"/>
      <c r="B68" s="84" t="str">
        <f t="shared" si="7"/>
        <v xml:space="preserve"> </v>
      </c>
      <c r="C68" s="84" t="str">
        <f t="shared" si="10"/>
        <v xml:space="preserve"> </v>
      </c>
      <c r="D68" s="84" t="str">
        <f t="shared" si="8"/>
        <v xml:space="preserve"> </v>
      </c>
      <c r="E68" s="84" t="str">
        <f t="shared" si="9"/>
        <v xml:space="preserve"> </v>
      </c>
      <c r="F68" s="647"/>
      <c r="G68" s="64" t="s">
        <v>97</v>
      </c>
      <c r="H68" s="151" t="s">
        <v>97</v>
      </c>
      <c r="I68" s="151" t="s">
        <v>97</v>
      </c>
      <c r="J68" s="151" t="s">
        <v>97</v>
      </c>
      <c r="K68" s="151" t="s">
        <v>97</v>
      </c>
      <c r="L68" s="151" t="s">
        <v>97</v>
      </c>
      <c r="M68" s="151" t="s">
        <v>97</v>
      </c>
      <c r="N68" s="151" t="s">
        <v>97</v>
      </c>
      <c r="O68" s="151" t="s">
        <v>97</v>
      </c>
      <c r="P68" s="151" t="s">
        <v>97</v>
      </c>
      <c r="Q68" s="151" t="s">
        <v>97</v>
      </c>
      <c r="R68" s="151" t="s">
        <v>97</v>
      </c>
      <c r="S68" s="151" t="s">
        <v>97</v>
      </c>
      <c r="T68" s="151" t="s">
        <v>97</v>
      </c>
      <c r="U68" s="151" t="s">
        <v>97</v>
      </c>
      <c r="V68" s="151" t="s">
        <v>97</v>
      </c>
      <c r="W68" s="151" t="s">
        <v>97</v>
      </c>
      <c r="X68" s="151" t="s">
        <v>97</v>
      </c>
      <c r="Y68" s="151" t="s">
        <v>97</v>
      </c>
      <c r="Z68" s="151" t="s">
        <v>97</v>
      </c>
      <c r="AA68" s="151" t="s">
        <v>97</v>
      </c>
      <c r="AB68" s="151" t="s">
        <v>97</v>
      </c>
      <c r="AC68" s="151" t="s">
        <v>97</v>
      </c>
      <c r="AD68" s="151" t="s">
        <v>97</v>
      </c>
      <c r="AE68" s="151" t="s">
        <v>97</v>
      </c>
      <c r="AF68" s="151" t="s">
        <v>97</v>
      </c>
      <c r="AG68" s="151" t="s">
        <v>97</v>
      </c>
      <c r="AH68" s="151" t="s">
        <v>97</v>
      </c>
      <c r="AI68" s="151" t="s">
        <v>97</v>
      </c>
      <c r="AJ68" s="151" t="s">
        <v>97</v>
      </c>
      <c r="AK68" s="151" t="s">
        <v>97</v>
      </c>
      <c r="AL68" s="151" t="s">
        <v>97</v>
      </c>
      <c r="AM68" s="151" t="s">
        <v>97</v>
      </c>
      <c r="AN68" s="151" t="s">
        <v>97</v>
      </c>
      <c r="AO68" s="151" t="s">
        <v>97</v>
      </c>
      <c r="AP68" s="151" t="s">
        <v>97</v>
      </c>
      <c r="AQ68" s="151" t="s">
        <v>97</v>
      </c>
      <c r="AR68" s="151" t="s">
        <v>97</v>
      </c>
      <c r="AS68" s="151" t="s">
        <v>97</v>
      </c>
      <c r="AT68" s="151" t="s">
        <v>97</v>
      </c>
      <c r="AU68" s="151" t="s">
        <v>97</v>
      </c>
      <c r="AV68" s="151" t="s">
        <v>97</v>
      </c>
      <c r="AW68" s="151" t="s">
        <v>97</v>
      </c>
      <c r="AX68" s="151" t="s">
        <v>97</v>
      </c>
      <c r="AY68" s="151" t="s">
        <v>97</v>
      </c>
      <c r="AZ68" s="151" t="s">
        <v>97</v>
      </c>
      <c r="BA68" s="151" t="s">
        <v>97</v>
      </c>
      <c r="BB68" s="151" t="s">
        <v>97</v>
      </c>
      <c r="BC68" s="151" t="s">
        <v>97</v>
      </c>
      <c r="BD68" s="151" t="s">
        <v>97</v>
      </c>
      <c r="BE68" s="151" t="s">
        <v>97</v>
      </c>
      <c r="BF68" s="151" t="s">
        <v>97</v>
      </c>
      <c r="BG68" s="151" t="s">
        <v>97</v>
      </c>
      <c r="BH68" s="151" t="s">
        <v>97</v>
      </c>
      <c r="BI68" s="151" t="s">
        <v>97</v>
      </c>
      <c r="BJ68" s="151" t="s">
        <v>97</v>
      </c>
      <c r="BK68" s="151" t="s">
        <v>97</v>
      </c>
      <c r="BL68" s="151" t="s">
        <v>97</v>
      </c>
      <c r="BM68" s="151" t="s">
        <v>97</v>
      </c>
      <c r="BN68" s="151" t="s">
        <v>97</v>
      </c>
      <c r="BO68" s="151" t="s">
        <v>97</v>
      </c>
      <c r="BP68" s="151" t="s">
        <v>97</v>
      </c>
      <c r="BQ68" s="151" t="s">
        <v>97</v>
      </c>
      <c r="BR68" s="151" t="s">
        <v>97</v>
      </c>
      <c r="BS68" s="151" t="s">
        <v>97</v>
      </c>
      <c r="BT68" s="151" t="s">
        <v>97</v>
      </c>
      <c r="BU68" s="151" t="s">
        <v>97</v>
      </c>
      <c r="BV68" s="151" t="s">
        <v>97</v>
      </c>
      <c r="BW68" s="151" t="s">
        <v>97</v>
      </c>
      <c r="BX68" s="151" t="s">
        <v>97</v>
      </c>
      <c r="BY68" s="151" t="s">
        <v>97</v>
      </c>
      <c r="BZ68" s="151" t="s">
        <v>97</v>
      </c>
      <c r="CA68" s="151" t="s">
        <v>97</v>
      </c>
      <c r="CB68" s="151" t="s">
        <v>97</v>
      </c>
      <c r="CC68" s="151" t="s">
        <v>97</v>
      </c>
      <c r="CD68" s="151" t="s">
        <v>97</v>
      </c>
      <c r="CE68" s="151" t="s">
        <v>97</v>
      </c>
      <c r="CF68" s="151" t="s">
        <v>97</v>
      </c>
      <c r="CG68" s="151" t="s">
        <v>97</v>
      </c>
      <c r="CH68" s="151" t="s">
        <v>97</v>
      </c>
      <c r="CI68" s="151" t="s">
        <v>97</v>
      </c>
      <c r="CJ68" s="151" t="s">
        <v>97</v>
      </c>
      <c r="CK68" s="151" t="s">
        <v>97</v>
      </c>
      <c r="CL68" s="151" t="s">
        <v>97</v>
      </c>
      <c r="CM68" s="151" t="s">
        <v>97</v>
      </c>
      <c r="CN68" s="151" t="s">
        <v>97</v>
      </c>
      <c r="CO68" s="151" t="s">
        <v>97</v>
      </c>
      <c r="CP68" s="151" t="s">
        <v>97</v>
      </c>
      <c r="CQ68" s="151" t="s">
        <v>97</v>
      </c>
      <c r="CR68" s="151" t="s">
        <v>97</v>
      </c>
      <c r="CS68" s="151" t="s">
        <v>97</v>
      </c>
      <c r="CT68" s="151" t="s">
        <v>97</v>
      </c>
      <c r="CU68" s="151" t="s">
        <v>97</v>
      </c>
      <c r="CV68" s="151" t="s">
        <v>97</v>
      </c>
      <c r="CW68" s="151" t="s">
        <v>97</v>
      </c>
      <c r="CX68" s="151" t="s">
        <v>97</v>
      </c>
      <c r="CY68" s="151" t="s">
        <v>97</v>
      </c>
      <c r="CZ68" s="151" t="s">
        <v>97</v>
      </c>
      <c r="DA68" s="151" t="s">
        <v>97</v>
      </c>
      <c r="DB68" s="151" t="s">
        <v>97</v>
      </c>
      <c r="DC68" s="151" t="s">
        <v>97</v>
      </c>
      <c r="DD68" s="151" t="s">
        <v>97</v>
      </c>
      <c r="DE68" s="152" t="s">
        <v>97</v>
      </c>
      <c r="DF68" s="152" t="s">
        <v>97</v>
      </c>
      <c r="DG68" s="152" t="s">
        <v>97</v>
      </c>
      <c r="DH68" s="152" t="s">
        <v>97</v>
      </c>
      <c r="DI68" s="152" t="s">
        <v>97</v>
      </c>
      <c r="DJ68" s="152" t="s">
        <v>97</v>
      </c>
      <c r="DK68" s="152" t="s">
        <v>97</v>
      </c>
      <c r="DL68" s="152" t="s">
        <v>97</v>
      </c>
      <c r="DM68" s="152" t="s">
        <v>97</v>
      </c>
      <c r="DN68" s="152" t="s">
        <v>97</v>
      </c>
      <c r="DO68" s="156" t="s">
        <v>97</v>
      </c>
      <c r="DP68" s="153" t="s">
        <v>97</v>
      </c>
      <c r="DW68" s="219" t="s">
        <v>97</v>
      </c>
      <c r="DX68" s="153" t="s">
        <v>97</v>
      </c>
      <c r="DY68" s="153" t="s">
        <v>97</v>
      </c>
      <c r="DZ68" s="153" t="s">
        <v>97</v>
      </c>
    </row>
    <row r="69" spans="1:130" s="5" customFormat="1" outlineLevel="1">
      <c r="A69" s="656"/>
      <c r="B69" s="84" t="str">
        <f t="shared" si="7"/>
        <v xml:space="preserve"> </v>
      </c>
      <c r="C69" s="84" t="str">
        <f t="shared" si="10"/>
        <v xml:space="preserve"> </v>
      </c>
      <c r="D69" s="84" t="str">
        <f t="shared" si="8"/>
        <v xml:space="preserve"> </v>
      </c>
      <c r="E69" s="84" t="str">
        <f t="shared" si="9"/>
        <v xml:space="preserve"> </v>
      </c>
      <c r="F69" s="647"/>
      <c r="G69" s="64" t="s">
        <v>97</v>
      </c>
      <c r="H69" s="151" t="s">
        <v>97</v>
      </c>
      <c r="I69" s="151" t="s">
        <v>97</v>
      </c>
      <c r="J69" s="151" t="s">
        <v>97</v>
      </c>
      <c r="K69" s="151" t="s">
        <v>97</v>
      </c>
      <c r="L69" s="151" t="s">
        <v>97</v>
      </c>
      <c r="M69" s="151" t="s">
        <v>97</v>
      </c>
      <c r="N69" s="151" t="s">
        <v>97</v>
      </c>
      <c r="O69" s="151" t="s">
        <v>97</v>
      </c>
      <c r="P69" s="151" t="s">
        <v>97</v>
      </c>
      <c r="Q69" s="151" t="s">
        <v>97</v>
      </c>
      <c r="R69" s="151" t="s">
        <v>97</v>
      </c>
      <c r="S69" s="151" t="s">
        <v>97</v>
      </c>
      <c r="T69" s="151" t="s">
        <v>97</v>
      </c>
      <c r="U69" s="151" t="s">
        <v>97</v>
      </c>
      <c r="V69" s="151" t="s">
        <v>97</v>
      </c>
      <c r="W69" s="151" t="s">
        <v>97</v>
      </c>
      <c r="X69" s="151" t="s">
        <v>97</v>
      </c>
      <c r="Y69" s="151" t="s">
        <v>97</v>
      </c>
      <c r="Z69" s="151" t="s">
        <v>97</v>
      </c>
      <c r="AA69" s="151" t="s">
        <v>97</v>
      </c>
      <c r="AB69" s="151" t="s">
        <v>97</v>
      </c>
      <c r="AC69" s="151" t="s">
        <v>97</v>
      </c>
      <c r="AD69" s="151" t="s">
        <v>97</v>
      </c>
      <c r="AE69" s="151" t="s">
        <v>97</v>
      </c>
      <c r="AF69" s="151" t="s">
        <v>97</v>
      </c>
      <c r="AG69" s="151" t="s">
        <v>97</v>
      </c>
      <c r="AH69" s="151" t="s">
        <v>97</v>
      </c>
      <c r="AI69" s="151" t="s">
        <v>97</v>
      </c>
      <c r="AJ69" s="151" t="s">
        <v>97</v>
      </c>
      <c r="AK69" s="151" t="s">
        <v>97</v>
      </c>
      <c r="AL69" s="151" t="s">
        <v>97</v>
      </c>
      <c r="AM69" s="151" t="s">
        <v>97</v>
      </c>
      <c r="AN69" s="151" t="s">
        <v>97</v>
      </c>
      <c r="AO69" s="151" t="s">
        <v>97</v>
      </c>
      <c r="AP69" s="151" t="s">
        <v>97</v>
      </c>
      <c r="AQ69" s="151" t="s">
        <v>97</v>
      </c>
      <c r="AR69" s="151" t="s">
        <v>97</v>
      </c>
      <c r="AS69" s="151" t="s">
        <v>97</v>
      </c>
      <c r="AT69" s="151" t="s">
        <v>97</v>
      </c>
      <c r="AU69" s="151" t="s">
        <v>97</v>
      </c>
      <c r="AV69" s="151" t="s">
        <v>97</v>
      </c>
      <c r="AW69" s="151" t="s">
        <v>97</v>
      </c>
      <c r="AX69" s="151" t="s">
        <v>97</v>
      </c>
      <c r="AY69" s="151" t="s">
        <v>97</v>
      </c>
      <c r="AZ69" s="151" t="s">
        <v>97</v>
      </c>
      <c r="BA69" s="151" t="s">
        <v>97</v>
      </c>
      <c r="BB69" s="151" t="s">
        <v>97</v>
      </c>
      <c r="BC69" s="151" t="s">
        <v>97</v>
      </c>
      <c r="BD69" s="151" t="s">
        <v>97</v>
      </c>
      <c r="BE69" s="151" t="s">
        <v>97</v>
      </c>
      <c r="BF69" s="151" t="s">
        <v>97</v>
      </c>
      <c r="BG69" s="151" t="s">
        <v>97</v>
      </c>
      <c r="BH69" s="151" t="s">
        <v>97</v>
      </c>
      <c r="BI69" s="151" t="s">
        <v>97</v>
      </c>
      <c r="BJ69" s="151" t="s">
        <v>97</v>
      </c>
      <c r="BK69" s="151" t="s">
        <v>97</v>
      </c>
      <c r="BL69" s="151" t="s">
        <v>97</v>
      </c>
      <c r="BM69" s="151" t="s">
        <v>97</v>
      </c>
      <c r="BN69" s="151" t="s">
        <v>97</v>
      </c>
      <c r="BO69" s="151" t="s">
        <v>97</v>
      </c>
      <c r="BP69" s="151" t="s">
        <v>97</v>
      </c>
      <c r="BQ69" s="151" t="s">
        <v>97</v>
      </c>
      <c r="BR69" s="151" t="s">
        <v>97</v>
      </c>
      <c r="BS69" s="151" t="s">
        <v>97</v>
      </c>
      <c r="BT69" s="151" t="s">
        <v>97</v>
      </c>
      <c r="BU69" s="151" t="s">
        <v>97</v>
      </c>
      <c r="BV69" s="151" t="s">
        <v>97</v>
      </c>
      <c r="BW69" s="151" t="s">
        <v>97</v>
      </c>
      <c r="BX69" s="151" t="s">
        <v>97</v>
      </c>
      <c r="BY69" s="151" t="s">
        <v>97</v>
      </c>
      <c r="BZ69" s="151" t="s">
        <v>97</v>
      </c>
      <c r="CA69" s="151" t="s">
        <v>97</v>
      </c>
      <c r="CB69" s="151" t="s">
        <v>97</v>
      </c>
      <c r="CC69" s="151" t="s">
        <v>97</v>
      </c>
      <c r="CD69" s="151" t="s">
        <v>97</v>
      </c>
      <c r="CE69" s="151" t="s">
        <v>97</v>
      </c>
      <c r="CF69" s="151" t="s">
        <v>97</v>
      </c>
      <c r="CG69" s="151" t="s">
        <v>97</v>
      </c>
      <c r="CH69" s="151" t="s">
        <v>97</v>
      </c>
      <c r="CI69" s="151" t="s">
        <v>97</v>
      </c>
      <c r="CJ69" s="151" t="s">
        <v>97</v>
      </c>
      <c r="CK69" s="151" t="s">
        <v>97</v>
      </c>
      <c r="CL69" s="151" t="s">
        <v>97</v>
      </c>
      <c r="CM69" s="151" t="s">
        <v>97</v>
      </c>
      <c r="CN69" s="151" t="s">
        <v>97</v>
      </c>
      <c r="CO69" s="151" t="s">
        <v>97</v>
      </c>
      <c r="CP69" s="151" t="s">
        <v>97</v>
      </c>
      <c r="CQ69" s="151" t="s">
        <v>97</v>
      </c>
      <c r="CR69" s="151" t="s">
        <v>97</v>
      </c>
      <c r="CS69" s="151" t="s">
        <v>97</v>
      </c>
      <c r="CT69" s="151" t="s">
        <v>97</v>
      </c>
      <c r="CU69" s="151" t="s">
        <v>97</v>
      </c>
      <c r="CV69" s="151" t="s">
        <v>97</v>
      </c>
      <c r="CW69" s="151" t="s">
        <v>97</v>
      </c>
      <c r="CX69" s="151" t="s">
        <v>97</v>
      </c>
      <c r="CY69" s="151" t="s">
        <v>97</v>
      </c>
      <c r="CZ69" s="151" t="s">
        <v>97</v>
      </c>
      <c r="DA69" s="151" t="s">
        <v>97</v>
      </c>
      <c r="DB69" s="151" t="s">
        <v>97</v>
      </c>
      <c r="DC69" s="151" t="s">
        <v>97</v>
      </c>
      <c r="DD69" s="151" t="s">
        <v>97</v>
      </c>
      <c r="DE69" s="152" t="s">
        <v>97</v>
      </c>
      <c r="DF69" s="152" t="s">
        <v>97</v>
      </c>
      <c r="DG69" s="152" t="s">
        <v>97</v>
      </c>
      <c r="DH69" s="152" t="s">
        <v>97</v>
      </c>
      <c r="DI69" s="152" t="s">
        <v>97</v>
      </c>
      <c r="DJ69" s="152" t="s">
        <v>97</v>
      </c>
      <c r="DK69" s="152" t="s">
        <v>97</v>
      </c>
      <c r="DL69" s="152" t="s">
        <v>97</v>
      </c>
      <c r="DM69" s="152" t="s">
        <v>97</v>
      </c>
      <c r="DN69" s="152" t="s">
        <v>97</v>
      </c>
      <c r="DO69" s="156" t="s">
        <v>97</v>
      </c>
      <c r="DP69" s="153" t="s">
        <v>97</v>
      </c>
      <c r="DW69" s="219" t="s">
        <v>97</v>
      </c>
      <c r="DX69" s="153" t="s">
        <v>97</v>
      </c>
      <c r="DY69" s="153" t="s">
        <v>97</v>
      </c>
      <c r="DZ69" s="153" t="s">
        <v>97</v>
      </c>
    </row>
    <row r="70" spans="1:130" s="5" customFormat="1" outlineLevel="1">
      <c r="A70" s="656"/>
      <c r="B70" s="84" t="str">
        <f t="shared" si="7"/>
        <v xml:space="preserve"> </v>
      </c>
      <c r="C70" s="84" t="str">
        <f t="shared" si="10"/>
        <v xml:space="preserve"> </v>
      </c>
      <c r="D70" s="84" t="str">
        <f t="shared" si="8"/>
        <v xml:space="preserve"> </v>
      </c>
      <c r="E70" s="84" t="str">
        <f t="shared" si="9"/>
        <v xml:space="preserve"> </v>
      </c>
      <c r="F70" s="647"/>
      <c r="G70" s="64" t="s">
        <v>97</v>
      </c>
      <c r="H70" s="151" t="s">
        <v>97</v>
      </c>
      <c r="I70" s="151" t="s">
        <v>97</v>
      </c>
      <c r="J70" s="151" t="s">
        <v>97</v>
      </c>
      <c r="K70" s="151" t="s">
        <v>97</v>
      </c>
      <c r="L70" s="151" t="s">
        <v>97</v>
      </c>
      <c r="M70" s="151" t="s">
        <v>97</v>
      </c>
      <c r="N70" s="151" t="s">
        <v>97</v>
      </c>
      <c r="O70" s="151" t="s">
        <v>97</v>
      </c>
      <c r="P70" s="151" t="s">
        <v>97</v>
      </c>
      <c r="Q70" s="151" t="s">
        <v>97</v>
      </c>
      <c r="R70" s="151" t="s">
        <v>97</v>
      </c>
      <c r="S70" s="151" t="s">
        <v>97</v>
      </c>
      <c r="T70" s="151" t="s">
        <v>97</v>
      </c>
      <c r="U70" s="151" t="s">
        <v>97</v>
      </c>
      <c r="V70" s="151" t="s">
        <v>97</v>
      </c>
      <c r="W70" s="151" t="s">
        <v>97</v>
      </c>
      <c r="X70" s="151" t="s">
        <v>97</v>
      </c>
      <c r="Y70" s="151" t="s">
        <v>97</v>
      </c>
      <c r="Z70" s="151" t="s">
        <v>97</v>
      </c>
      <c r="AA70" s="151" t="s">
        <v>97</v>
      </c>
      <c r="AB70" s="151" t="s">
        <v>97</v>
      </c>
      <c r="AC70" s="151" t="s">
        <v>97</v>
      </c>
      <c r="AD70" s="151" t="s">
        <v>97</v>
      </c>
      <c r="AE70" s="151" t="s">
        <v>97</v>
      </c>
      <c r="AF70" s="151" t="s">
        <v>97</v>
      </c>
      <c r="AG70" s="151" t="s">
        <v>97</v>
      </c>
      <c r="AH70" s="151" t="s">
        <v>97</v>
      </c>
      <c r="AI70" s="151" t="s">
        <v>97</v>
      </c>
      <c r="AJ70" s="151" t="s">
        <v>97</v>
      </c>
      <c r="AK70" s="151" t="s">
        <v>97</v>
      </c>
      <c r="AL70" s="151" t="s">
        <v>97</v>
      </c>
      <c r="AM70" s="151" t="s">
        <v>97</v>
      </c>
      <c r="AN70" s="151" t="s">
        <v>97</v>
      </c>
      <c r="AO70" s="151" t="s">
        <v>97</v>
      </c>
      <c r="AP70" s="151" t="s">
        <v>97</v>
      </c>
      <c r="AQ70" s="151" t="s">
        <v>97</v>
      </c>
      <c r="AR70" s="151" t="s">
        <v>97</v>
      </c>
      <c r="AS70" s="151" t="s">
        <v>97</v>
      </c>
      <c r="AT70" s="151" t="s">
        <v>97</v>
      </c>
      <c r="AU70" s="151" t="s">
        <v>97</v>
      </c>
      <c r="AV70" s="151" t="s">
        <v>97</v>
      </c>
      <c r="AW70" s="151" t="s">
        <v>97</v>
      </c>
      <c r="AX70" s="151" t="s">
        <v>97</v>
      </c>
      <c r="AY70" s="151" t="s">
        <v>97</v>
      </c>
      <c r="AZ70" s="151" t="s">
        <v>97</v>
      </c>
      <c r="BA70" s="151" t="s">
        <v>97</v>
      </c>
      <c r="BB70" s="151" t="s">
        <v>97</v>
      </c>
      <c r="BC70" s="151" t="s">
        <v>97</v>
      </c>
      <c r="BD70" s="151" t="s">
        <v>97</v>
      </c>
      <c r="BE70" s="151" t="s">
        <v>97</v>
      </c>
      <c r="BF70" s="151" t="s">
        <v>97</v>
      </c>
      <c r="BG70" s="151" t="s">
        <v>97</v>
      </c>
      <c r="BH70" s="151" t="s">
        <v>97</v>
      </c>
      <c r="BI70" s="151" t="s">
        <v>97</v>
      </c>
      <c r="BJ70" s="151" t="s">
        <v>97</v>
      </c>
      <c r="BK70" s="151" t="s">
        <v>97</v>
      </c>
      <c r="BL70" s="151" t="s">
        <v>97</v>
      </c>
      <c r="BM70" s="151" t="s">
        <v>97</v>
      </c>
      <c r="BN70" s="151" t="s">
        <v>97</v>
      </c>
      <c r="BO70" s="151" t="s">
        <v>97</v>
      </c>
      <c r="BP70" s="151" t="s">
        <v>97</v>
      </c>
      <c r="BQ70" s="151" t="s">
        <v>97</v>
      </c>
      <c r="BR70" s="151" t="s">
        <v>97</v>
      </c>
      <c r="BS70" s="151" t="s">
        <v>97</v>
      </c>
      <c r="BT70" s="151" t="s">
        <v>97</v>
      </c>
      <c r="BU70" s="151" t="s">
        <v>97</v>
      </c>
      <c r="BV70" s="151" t="s">
        <v>97</v>
      </c>
      <c r="BW70" s="151" t="s">
        <v>97</v>
      </c>
      <c r="BX70" s="151" t="s">
        <v>97</v>
      </c>
      <c r="BY70" s="151" t="s">
        <v>97</v>
      </c>
      <c r="BZ70" s="151" t="s">
        <v>97</v>
      </c>
      <c r="CA70" s="151" t="s">
        <v>97</v>
      </c>
      <c r="CB70" s="151" t="s">
        <v>97</v>
      </c>
      <c r="CC70" s="151" t="s">
        <v>97</v>
      </c>
      <c r="CD70" s="151" t="s">
        <v>97</v>
      </c>
      <c r="CE70" s="151" t="s">
        <v>97</v>
      </c>
      <c r="CF70" s="151" t="s">
        <v>97</v>
      </c>
      <c r="CG70" s="151" t="s">
        <v>97</v>
      </c>
      <c r="CH70" s="151" t="s">
        <v>97</v>
      </c>
      <c r="CI70" s="151" t="s">
        <v>97</v>
      </c>
      <c r="CJ70" s="151" t="s">
        <v>97</v>
      </c>
      <c r="CK70" s="151" t="s">
        <v>97</v>
      </c>
      <c r="CL70" s="151" t="s">
        <v>97</v>
      </c>
      <c r="CM70" s="151" t="s">
        <v>97</v>
      </c>
      <c r="CN70" s="151" t="s">
        <v>97</v>
      </c>
      <c r="CO70" s="151" t="s">
        <v>97</v>
      </c>
      <c r="CP70" s="151" t="s">
        <v>97</v>
      </c>
      <c r="CQ70" s="151" t="s">
        <v>97</v>
      </c>
      <c r="CR70" s="151" t="s">
        <v>97</v>
      </c>
      <c r="CS70" s="151" t="s">
        <v>97</v>
      </c>
      <c r="CT70" s="151" t="s">
        <v>97</v>
      </c>
      <c r="CU70" s="151" t="s">
        <v>97</v>
      </c>
      <c r="CV70" s="151" t="s">
        <v>97</v>
      </c>
      <c r="CW70" s="151" t="s">
        <v>97</v>
      </c>
      <c r="CX70" s="151" t="s">
        <v>97</v>
      </c>
      <c r="CY70" s="151" t="s">
        <v>97</v>
      </c>
      <c r="CZ70" s="151" t="s">
        <v>97</v>
      </c>
      <c r="DA70" s="151" t="s">
        <v>97</v>
      </c>
      <c r="DB70" s="151" t="s">
        <v>97</v>
      </c>
      <c r="DC70" s="151" t="s">
        <v>97</v>
      </c>
      <c r="DD70" s="151" t="s">
        <v>97</v>
      </c>
      <c r="DE70" s="152" t="s">
        <v>97</v>
      </c>
      <c r="DF70" s="152" t="s">
        <v>97</v>
      </c>
      <c r="DG70" s="152" t="s">
        <v>97</v>
      </c>
      <c r="DH70" s="152" t="s">
        <v>97</v>
      </c>
      <c r="DI70" s="152" t="s">
        <v>97</v>
      </c>
      <c r="DJ70" s="152" t="s">
        <v>97</v>
      </c>
      <c r="DK70" s="152" t="s">
        <v>97</v>
      </c>
      <c r="DL70" s="152" t="s">
        <v>97</v>
      </c>
      <c r="DM70" s="152" t="s">
        <v>97</v>
      </c>
      <c r="DN70" s="152" t="s">
        <v>97</v>
      </c>
      <c r="DO70" s="156" t="s">
        <v>97</v>
      </c>
      <c r="DP70" s="153" t="s">
        <v>97</v>
      </c>
      <c r="DW70" s="219" t="s">
        <v>97</v>
      </c>
      <c r="DX70" s="153" t="s">
        <v>97</v>
      </c>
      <c r="DY70" s="153" t="s">
        <v>97</v>
      </c>
      <c r="DZ70" s="153" t="s">
        <v>97</v>
      </c>
    </row>
    <row r="71" spans="1:130" s="110" customFormat="1" ht="15.75" outlineLevel="1" thickBot="1">
      <c r="A71" s="656"/>
      <c r="B71" s="179" t="str">
        <f t="shared" si="7"/>
        <v xml:space="preserve"> </v>
      </c>
      <c r="C71" s="179" t="str">
        <f t="shared" si="10"/>
        <v xml:space="preserve"> </v>
      </c>
      <c r="D71" s="179" t="str">
        <f t="shared" si="8"/>
        <v xml:space="preserve"> </v>
      </c>
      <c r="E71" s="179" t="str">
        <f t="shared" si="9"/>
        <v xml:space="preserve"> </v>
      </c>
      <c r="F71" s="648"/>
      <c r="G71" s="91" t="s">
        <v>97</v>
      </c>
      <c r="H71" s="157" t="s">
        <v>97</v>
      </c>
      <c r="I71" s="157" t="s">
        <v>97</v>
      </c>
      <c r="J71" s="157" t="s">
        <v>97</v>
      </c>
      <c r="K71" s="157" t="s">
        <v>97</v>
      </c>
      <c r="L71" s="157" t="s">
        <v>97</v>
      </c>
      <c r="M71" s="157" t="s">
        <v>97</v>
      </c>
      <c r="N71" s="157" t="s">
        <v>97</v>
      </c>
      <c r="O71" s="157" t="s">
        <v>97</v>
      </c>
      <c r="P71" s="157" t="s">
        <v>97</v>
      </c>
      <c r="Q71" s="157" t="s">
        <v>97</v>
      </c>
      <c r="R71" s="157" t="s">
        <v>97</v>
      </c>
      <c r="S71" s="157" t="s">
        <v>97</v>
      </c>
      <c r="T71" s="157" t="s">
        <v>97</v>
      </c>
      <c r="U71" s="157" t="s">
        <v>97</v>
      </c>
      <c r="V71" s="157" t="s">
        <v>97</v>
      </c>
      <c r="W71" s="157" t="s">
        <v>97</v>
      </c>
      <c r="X71" s="157" t="s">
        <v>97</v>
      </c>
      <c r="Y71" s="157" t="s">
        <v>97</v>
      </c>
      <c r="Z71" s="157" t="s">
        <v>97</v>
      </c>
      <c r="AA71" s="157" t="s">
        <v>97</v>
      </c>
      <c r="AB71" s="157" t="s">
        <v>97</v>
      </c>
      <c r="AC71" s="157" t="s">
        <v>97</v>
      </c>
      <c r="AD71" s="157" t="s">
        <v>97</v>
      </c>
      <c r="AE71" s="157" t="s">
        <v>97</v>
      </c>
      <c r="AF71" s="157" t="s">
        <v>97</v>
      </c>
      <c r="AG71" s="157" t="s">
        <v>97</v>
      </c>
      <c r="AH71" s="157" t="s">
        <v>97</v>
      </c>
      <c r="AI71" s="157" t="s">
        <v>97</v>
      </c>
      <c r="AJ71" s="157" t="s">
        <v>97</v>
      </c>
      <c r="AK71" s="157" t="s">
        <v>97</v>
      </c>
      <c r="AL71" s="157" t="s">
        <v>97</v>
      </c>
      <c r="AM71" s="157" t="s">
        <v>97</v>
      </c>
      <c r="AN71" s="157" t="s">
        <v>97</v>
      </c>
      <c r="AO71" s="157" t="s">
        <v>97</v>
      </c>
      <c r="AP71" s="157" t="s">
        <v>97</v>
      </c>
      <c r="AQ71" s="157" t="s">
        <v>97</v>
      </c>
      <c r="AR71" s="157" t="s">
        <v>97</v>
      </c>
      <c r="AS71" s="157" t="s">
        <v>97</v>
      </c>
      <c r="AT71" s="157" t="s">
        <v>97</v>
      </c>
      <c r="AU71" s="157" t="s">
        <v>97</v>
      </c>
      <c r="AV71" s="157" t="s">
        <v>97</v>
      </c>
      <c r="AW71" s="157" t="s">
        <v>97</v>
      </c>
      <c r="AX71" s="157" t="s">
        <v>97</v>
      </c>
      <c r="AY71" s="157" t="s">
        <v>97</v>
      </c>
      <c r="AZ71" s="157" t="s">
        <v>97</v>
      </c>
      <c r="BA71" s="157" t="s">
        <v>97</v>
      </c>
      <c r="BB71" s="157" t="s">
        <v>97</v>
      </c>
      <c r="BC71" s="157" t="s">
        <v>97</v>
      </c>
      <c r="BD71" s="157" t="s">
        <v>97</v>
      </c>
      <c r="BE71" s="157" t="s">
        <v>97</v>
      </c>
      <c r="BF71" s="157" t="s">
        <v>97</v>
      </c>
      <c r="BG71" s="157" t="s">
        <v>97</v>
      </c>
      <c r="BH71" s="157" t="s">
        <v>97</v>
      </c>
      <c r="BI71" s="157" t="s">
        <v>97</v>
      </c>
      <c r="BJ71" s="157" t="s">
        <v>97</v>
      </c>
      <c r="BK71" s="157" t="s">
        <v>97</v>
      </c>
      <c r="BL71" s="157" t="s">
        <v>97</v>
      </c>
      <c r="BM71" s="157" t="s">
        <v>97</v>
      </c>
      <c r="BN71" s="157" t="s">
        <v>97</v>
      </c>
      <c r="BO71" s="157" t="s">
        <v>97</v>
      </c>
      <c r="BP71" s="157" t="s">
        <v>97</v>
      </c>
      <c r="BQ71" s="157" t="s">
        <v>97</v>
      </c>
      <c r="BR71" s="157" t="s">
        <v>97</v>
      </c>
      <c r="BS71" s="157" t="s">
        <v>97</v>
      </c>
      <c r="BT71" s="157" t="s">
        <v>97</v>
      </c>
      <c r="BU71" s="157" t="s">
        <v>97</v>
      </c>
      <c r="BV71" s="157" t="s">
        <v>97</v>
      </c>
      <c r="BW71" s="157" t="s">
        <v>97</v>
      </c>
      <c r="BX71" s="157" t="s">
        <v>97</v>
      </c>
      <c r="BY71" s="157" t="s">
        <v>97</v>
      </c>
      <c r="BZ71" s="157" t="s">
        <v>97</v>
      </c>
      <c r="CA71" s="157" t="s">
        <v>97</v>
      </c>
      <c r="CB71" s="157" t="s">
        <v>97</v>
      </c>
      <c r="CC71" s="157" t="s">
        <v>97</v>
      </c>
      <c r="CD71" s="157" t="s">
        <v>97</v>
      </c>
      <c r="CE71" s="157" t="s">
        <v>97</v>
      </c>
      <c r="CF71" s="157" t="s">
        <v>97</v>
      </c>
      <c r="CG71" s="157" t="s">
        <v>97</v>
      </c>
      <c r="CH71" s="157" t="s">
        <v>97</v>
      </c>
      <c r="CI71" s="157" t="s">
        <v>97</v>
      </c>
      <c r="CJ71" s="157" t="s">
        <v>97</v>
      </c>
      <c r="CK71" s="157" t="s">
        <v>97</v>
      </c>
      <c r="CL71" s="157" t="s">
        <v>97</v>
      </c>
      <c r="CM71" s="157" t="s">
        <v>97</v>
      </c>
      <c r="CN71" s="157" t="s">
        <v>97</v>
      </c>
      <c r="CO71" s="157" t="s">
        <v>97</v>
      </c>
      <c r="CP71" s="157" t="s">
        <v>97</v>
      </c>
      <c r="CQ71" s="157" t="s">
        <v>97</v>
      </c>
      <c r="CR71" s="157" t="s">
        <v>97</v>
      </c>
      <c r="CS71" s="157" t="s">
        <v>97</v>
      </c>
      <c r="CT71" s="157" t="s">
        <v>97</v>
      </c>
      <c r="CU71" s="157" t="s">
        <v>97</v>
      </c>
      <c r="CV71" s="157" t="s">
        <v>97</v>
      </c>
      <c r="CW71" s="157" t="s">
        <v>97</v>
      </c>
      <c r="CX71" s="157" t="s">
        <v>97</v>
      </c>
      <c r="CY71" s="157" t="s">
        <v>97</v>
      </c>
      <c r="CZ71" s="157" t="s">
        <v>97</v>
      </c>
      <c r="DA71" s="157" t="s">
        <v>97</v>
      </c>
      <c r="DB71" s="157" t="s">
        <v>97</v>
      </c>
      <c r="DC71" s="157" t="s">
        <v>97</v>
      </c>
      <c r="DD71" s="157" t="s">
        <v>97</v>
      </c>
      <c r="DE71" s="158" t="s">
        <v>97</v>
      </c>
      <c r="DF71" s="158" t="s">
        <v>97</v>
      </c>
      <c r="DG71" s="158" t="s">
        <v>97</v>
      </c>
      <c r="DH71" s="158" t="s">
        <v>97</v>
      </c>
      <c r="DI71" s="158" t="s">
        <v>97</v>
      </c>
      <c r="DJ71" s="158" t="s">
        <v>97</v>
      </c>
      <c r="DK71" s="158" t="s">
        <v>97</v>
      </c>
      <c r="DL71" s="158" t="s">
        <v>97</v>
      </c>
      <c r="DM71" s="158" t="s">
        <v>97</v>
      </c>
      <c r="DN71" s="158" t="s">
        <v>97</v>
      </c>
      <c r="DO71" s="159" t="s">
        <v>97</v>
      </c>
      <c r="DP71" s="160" t="s">
        <v>97</v>
      </c>
      <c r="DW71" s="220" t="s">
        <v>97</v>
      </c>
      <c r="DX71" s="160" t="s">
        <v>97</v>
      </c>
      <c r="DY71" s="160" t="s">
        <v>97</v>
      </c>
      <c r="DZ71" s="160" t="s">
        <v>97</v>
      </c>
    </row>
    <row r="72" spans="1:130" s="184" customFormat="1" ht="15.75" thickBot="1">
      <c r="A72" s="657" t="s">
        <v>611</v>
      </c>
      <c r="B72" s="86" t="str">
        <f t="shared" si="7"/>
        <v xml:space="preserve"> </v>
      </c>
      <c r="C72" s="86" t="str">
        <f t="shared" si="10"/>
        <v>Gilet de cuir</v>
      </c>
      <c r="D72" s="86" t="str">
        <f t="shared" ref="D72:D103" si="11">LOOKUP(Carriere2,$G$1:$DP$1,$G72:$DP72)</f>
        <v>Parfum</v>
      </c>
      <c r="E72" s="83" t="str">
        <f t="shared" ref="E72:E103" si="12">LOOKUP(Carriere3,$G$1:$DP$1,$G72:$DP72)</f>
        <v>Carriole</v>
      </c>
      <c r="F72" s="649" t="s">
        <v>611</v>
      </c>
      <c r="G72" s="90" t="s">
        <v>97</v>
      </c>
      <c r="H72" s="207" t="s">
        <v>100</v>
      </c>
      <c r="I72" s="207" t="s">
        <v>522</v>
      </c>
      <c r="J72" s="207" t="s">
        <v>880</v>
      </c>
      <c r="K72" s="207" t="s">
        <v>104</v>
      </c>
      <c r="L72" s="207" t="s">
        <v>117</v>
      </c>
      <c r="M72" s="207" t="s">
        <v>889</v>
      </c>
      <c r="N72" s="207" t="s">
        <v>819</v>
      </c>
      <c r="O72" s="207" t="s">
        <v>705</v>
      </c>
      <c r="P72" s="207" t="s">
        <v>104</v>
      </c>
      <c r="Q72" s="207" t="s">
        <v>100</v>
      </c>
      <c r="R72" s="207" t="s">
        <v>104</v>
      </c>
      <c r="S72" s="207" t="s">
        <v>107</v>
      </c>
      <c r="T72" s="207" t="s">
        <v>137</v>
      </c>
      <c r="U72" s="207" t="s">
        <v>106</v>
      </c>
      <c r="V72" s="207" t="s">
        <v>137</v>
      </c>
      <c r="W72" s="207" t="s">
        <v>524</v>
      </c>
      <c r="X72" s="207" t="s">
        <v>908</v>
      </c>
      <c r="Y72" s="207" t="s">
        <v>106</v>
      </c>
      <c r="Z72" s="207" t="s">
        <v>879</v>
      </c>
      <c r="AA72" s="207" t="s">
        <v>911</v>
      </c>
      <c r="AB72" s="207" t="s">
        <v>529</v>
      </c>
      <c r="AC72" s="207" t="s">
        <v>706</v>
      </c>
      <c r="AD72" s="207" t="s">
        <v>704</v>
      </c>
      <c r="AE72" s="207" t="s">
        <v>709</v>
      </c>
      <c r="AF72" s="207" t="s">
        <v>137</v>
      </c>
      <c r="AG72" s="207" t="s">
        <v>702</v>
      </c>
      <c r="AH72" s="207" t="s">
        <v>118</v>
      </c>
      <c r="AI72" s="207" t="s">
        <v>156</v>
      </c>
      <c r="AJ72" s="207" t="s">
        <v>717</v>
      </c>
      <c r="AK72" s="207" t="s">
        <v>184</v>
      </c>
      <c r="AL72" s="207" t="s">
        <v>706</v>
      </c>
      <c r="AM72" s="207" t="s">
        <v>788</v>
      </c>
      <c r="AN72" s="207" t="s">
        <v>100</v>
      </c>
      <c r="AO72" s="207" t="s">
        <v>134</v>
      </c>
      <c r="AP72" s="140" t="s">
        <v>900</v>
      </c>
      <c r="AQ72" s="207" t="s">
        <v>100</v>
      </c>
      <c r="AR72" s="207" t="s">
        <v>140</v>
      </c>
      <c r="AS72" s="207" t="s">
        <v>702</v>
      </c>
      <c r="AT72" s="207" t="s">
        <v>706</v>
      </c>
      <c r="AU72" s="207" t="s">
        <v>124</v>
      </c>
      <c r="AV72" s="207" t="s">
        <v>100</v>
      </c>
      <c r="AW72" s="207" t="s">
        <v>127</v>
      </c>
      <c r="AX72" s="207" t="s">
        <v>128</v>
      </c>
      <c r="AY72" s="207" t="s">
        <v>893</v>
      </c>
      <c r="AZ72" s="207" t="s">
        <v>875</v>
      </c>
      <c r="BA72" s="207" t="s">
        <v>709</v>
      </c>
      <c r="BB72" s="207" t="s">
        <v>137</v>
      </c>
      <c r="BC72" s="207" t="s">
        <v>137</v>
      </c>
      <c r="BD72" s="207" t="s">
        <v>100</v>
      </c>
      <c r="BE72" s="207" t="s">
        <v>100</v>
      </c>
      <c r="BF72" s="207" t="s">
        <v>143</v>
      </c>
      <c r="BG72" s="207" t="s">
        <v>147</v>
      </c>
      <c r="BH72" s="207" t="s">
        <v>149</v>
      </c>
      <c r="BI72" s="207" t="s">
        <v>106</v>
      </c>
      <c r="BJ72" s="207" t="s">
        <v>891</v>
      </c>
      <c r="BK72" s="207" t="s">
        <v>179</v>
      </c>
      <c r="BL72" s="207" t="s">
        <v>709</v>
      </c>
      <c r="BM72" s="207" t="s">
        <v>100</v>
      </c>
      <c r="BN72" s="207" t="s">
        <v>152</v>
      </c>
      <c r="BO72" s="207" t="s">
        <v>127</v>
      </c>
      <c r="BP72" s="207" t="s">
        <v>709</v>
      </c>
      <c r="BQ72" s="207" t="s">
        <v>127</v>
      </c>
      <c r="BR72" s="207" t="s">
        <v>156</v>
      </c>
      <c r="BS72" s="207" t="s">
        <v>156</v>
      </c>
      <c r="BT72" s="207" t="s">
        <v>857</v>
      </c>
      <c r="BU72" s="207" t="s">
        <v>104</v>
      </c>
      <c r="BV72" s="207" t="s">
        <v>706</v>
      </c>
      <c r="BW72" s="207" t="s">
        <v>854</v>
      </c>
      <c r="BX72" s="207" t="s">
        <v>853</v>
      </c>
      <c r="BY72" s="207" t="s">
        <v>155</v>
      </c>
      <c r="BZ72" s="207" t="s">
        <v>706</v>
      </c>
      <c r="CA72" s="207" t="s">
        <v>100</v>
      </c>
      <c r="CB72" s="207" t="s">
        <v>709</v>
      </c>
      <c r="CC72" s="207" t="s">
        <v>106</v>
      </c>
      <c r="CD72" s="207" t="s">
        <v>157</v>
      </c>
      <c r="CE72" s="207" t="s">
        <v>131</v>
      </c>
      <c r="CF72" s="207" t="s">
        <v>836</v>
      </c>
      <c r="CG72" s="207" t="s">
        <v>140</v>
      </c>
      <c r="CH72" s="207" t="s">
        <v>100</v>
      </c>
      <c r="CI72" s="207" t="s">
        <v>100</v>
      </c>
      <c r="CJ72" s="207" t="s">
        <v>716</v>
      </c>
      <c r="CK72" s="207" t="s">
        <v>164</v>
      </c>
      <c r="CL72" s="207" t="s">
        <v>166</v>
      </c>
      <c r="CM72" s="207" t="s">
        <v>803</v>
      </c>
      <c r="CN72" s="207" t="s">
        <v>126</v>
      </c>
      <c r="CO72" s="207" t="s">
        <v>819</v>
      </c>
      <c r="CP72" s="207" t="s">
        <v>793</v>
      </c>
      <c r="CQ72" s="207" t="s">
        <v>706</v>
      </c>
      <c r="CR72" s="207" t="s">
        <v>127</v>
      </c>
      <c r="CS72" s="207" t="s">
        <v>162</v>
      </c>
      <c r="CT72" s="207" t="s">
        <v>705</v>
      </c>
      <c r="CU72" s="207" t="s">
        <v>134</v>
      </c>
      <c r="CV72" s="207" t="s">
        <v>168</v>
      </c>
      <c r="CW72" s="207" t="s">
        <v>156</v>
      </c>
      <c r="CX72" s="207" t="s">
        <v>112</v>
      </c>
      <c r="CY72" s="207" t="s">
        <v>705</v>
      </c>
      <c r="CZ72" s="207" t="s">
        <v>147</v>
      </c>
      <c r="DA72" s="207" t="s">
        <v>144</v>
      </c>
      <c r="DB72" s="207" t="s">
        <v>787</v>
      </c>
      <c r="DC72" s="207" t="s">
        <v>164</v>
      </c>
      <c r="DD72" s="207" t="s">
        <v>770</v>
      </c>
      <c r="DE72" s="208" t="s">
        <v>530</v>
      </c>
      <c r="DF72" s="208" t="s">
        <v>159</v>
      </c>
      <c r="DG72" s="208" t="s">
        <v>157</v>
      </c>
      <c r="DH72" s="208" t="s">
        <v>107</v>
      </c>
      <c r="DI72" s="208" t="s">
        <v>108</v>
      </c>
      <c r="DJ72" s="208" t="s">
        <v>106</v>
      </c>
      <c r="DK72" s="208" t="s">
        <v>106</v>
      </c>
      <c r="DL72" s="208" t="s">
        <v>106</v>
      </c>
      <c r="DM72" s="208" t="s">
        <v>102</v>
      </c>
      <c r="DN72" s="208" t="s">
        <v>179</v>
      </c>
      <c r="DO72" s="208" t="s">
        <v>770</v>
      </c>
      <c r="DP72" s="204" t="s">
        <v>762</v>
      </c>
      <c r="DW72" s="203" t="s">
        <v>97</v>
      </c>
      <c r="DX72" s="204" t="s">
        <v>97</v>
      </c>
      <c r="DY72" s="204" t="s">
        <v>97</v>
      </c>
      <c r="DZ72" s="204" t="s">
        <v>97</v>
      </c>
    </row>
    <row r="73" spans="1:130" s="185" customFormat="1">
      <c r="A73" s="658"/>
      <c r="B73" s="57" t="str">
        <f t="shared" si="7"/>
        <v xml:space="preserve"> </v>
      </c>
      <c r="C73" s="57" t="str">
        <f t="shared" si="10"/>
        <v>Bouteille d'alcool fort</v>
      </c>
      <c r="D73" s="57" t="str">
        <f t="shared" si="11"/>
        <v>Beaux atours</v>
      </c>
      <c r="E73" s="84" t="str">
        <f t="shared" si="12"/>
        <v>Besaces (3)</v>
      </c>
      <c r="F73" s="650"/>
      <c r="G73" s="64" t="s">
        <v>97</v>
      </c>
      <c r="H73" s="140" t="s">
        <v>530</v>
      </c>
      <c r="I73" s="140" t="s">
        <v>102</v>
      </c>
      <c r="J73" s="140" t="s">
        <v>883</v>
      </c>
      <c r="K73" s="140" t="s">
        <v>97</v>
      </c>
      <c r="L73" s="140" t="s">
        <v>794</v>
      </c>
      <c r="M73" s="140" t="s">
        <v>888</v>
      </c>
      <c r="N73" s="140" t="s">
        <v>820</v>
      </c>
      <c r="O73" s="140" t="s">
        <v>116</v>
      </c>
      <c r="P73" s="140" t="s">
        <v>816</v>
      </c>
      <c r="Q73" s="140" t="s">
        <v>182</v>
      </c>
      <c r="R73" s="140" t="s">
        <v>105</v>
      </c>
      <c r="S73" s="140" t="s">
        <v>108</v>
      </c>
      <c r="T73" s="140" t="s">
        <v>903</v>
      </c>
      <c r="U73" s="140" t="s">
        <v>100</v>
      </c>
      <c r="V73" s="140" t="s">
        <v>106</v>
      </c>
      <c r="W73" s="140" t="s">
        <v>100</v>
      </c>
      <c r="X73" s="140" t="s">
        <v>126</v>
      </c>
      <c r="Y73" s="140" t="s">
        <v>137</v>
      </c>
      <c r="Z73" s="140" t="s">
        <v>111</v>
      </c>
      <c r="AA73" s="140" t="s">
        <v>915</v>
      </c>
      <c r="AB73" s="140" t="s">
        <v>148</v>
      </c>
      <c r="AC73" s="140" t="s">
        <v>116</v>
      </c>
      <c r="AD73" s="140" t="s">
        <v>116</v>
      </c>
      <c r="AE73" s="140" t="s">
        <v>148</v>
      </c>
      <c r="AF73" s="140" t="s">
        <v>701</v>
      </c>
      <c r="AG73" s="140" t="s">
        <v>524</v>
      </c>
      <c r="AH73" s="140" t="s">
        <v>183</v>
      </c>
      <c r="AI73" s="140" t="s">
        <v>97</v>
      </c>
      <c r="AJ73" s="140" t="s">
        <v>120</v>
      </c>
      <c r="AK73" s="207" t="s">
        <v>706</v>
      </c>
      <c r="AL73" s="140" t="s">
        <v>116</v>
      </c>
      <c r="AM73" s="140" t="s">
        <v>127</v>
      </c>
      <c r="AN73" s="140" t="s">
        <v>878</v>
      </c>
      <c r="AO73" s="140" t="s">
        <v>126</v>
      </c>
      <c r="AP73" s="140" t="s">
        <v>901</v>
      </c>
      <c r="AQ73" s="140" t="s">
        <v>112</v>
      </c>
      <c r="AR73" s="140" t="s">
        <v>128</v>
      </c>
      <c r="AS73" s="140" t="s">
        <v>716</v>
      </c>
      <c r="AT73" s="140" t="s">
        <v>116</v>
      </c>
      <c r="AU73" s="140" t="s">
        <v>126</v>
      </c>
      <c r="AV73" s="140" t="s">
        <v>877</v>
      </c>
      <c r="AW73" s="140" t="s">
        <v>97</v>
      </c>
      <c r="AX73" s="140" t="s">
        <v>129</v>
      </c>
      <c r="AY73" s="140" t="s">
        <v>894</v>
      </c>
      <c r="AZ73" s="140" t="s">
        <v>127</v>
      </c>
      <c r="BA73" s="140" t="s">
        <v>148</v>
      </c>
      <c r="BB73" s="140" t="s">
        <v>100</v>
      </c>
      <c r="BC73" s="140" t="s">
        <v>105</v>
      </c>
      <c r="BD73" s="140" t="s">
        <v>529</v>
      </c>
      <c r="BE73" s="140" t="s">
        <v>108</v>
      </c>
      <c r="BF73" s="140" t="s">
        <v>134</v>
      </c>
      <c r="BG73" s="140" t="s">
        <v>148</v>
      </c>
      <c r="BH73" s="140" t="s">
        <v>150</v>
      </c>
      <c r="BI73" s="140" t="s">
        <v>134</v>
      </c>
      <c r="BJ73" s="140" t="s">
        <v>97</v>
      </c>
      <c r="BK73" s="140" t="s">
        <v>180</v>
      </c>
      <c r="BL73" s="140" t="s">
        <v>148</v>
      </c>
      <c r="BM73" s="140" t="s">
        <v>870</v>
      </c>
      <c r="BN73" s="140" t="s">
        <v>839</v>
      </c>
      <c r="BO73" s="140" t="s">
        <v>865</v>
      </c>
      <c r="BP73" s="140" t="s">
        <v>148</v>
      </c>
      <c r="BQ73" s="140" t="s">
        <v>860</v>
      </c>
      <c r="BR73" s="140" t="s">
        <v>861</v>
      </c>
      <c r="BS73" s="140" t="s">
        <v>97</v>
      </c>
      <c r="BT73" s="140" t="s">
        <v>856</v>
      </c>
      <c r="BU73" s="140" t="s">
        <v>105</v>
      </c>
      <c r="BV73" s="140" t="s">
        <v>116</v>
      </c>
      <c r="BW73" s="140" t="s">
        <v>855</v>
      </c>
      <c r="BX73" s="140" t="s">
        <v>185</v>
      </c>
      <c r="BY73" s="140" t="s">
        <v>156</v>
      </c>
      <c r="BZ73" s="140" t="s">
        <v>116</v>
      </c>
      <c r="CA73" s="140" t="s">
        <v>158</v>
      </c>
      <c r="CB73" s="140" t="s">
        <v>112</v>
      </c>
      <c r="CC73" s="140" t="s">
        <v>142</v>
      </c>
      <c r="CD73" s="140" t="s">
        <v>838</v>
      </c>
      <c r="CE73" s="140" t="s">
        <v>181</v>
      </c>
      <c r="CF73" s="140" t="s">
        <v>837</v>
      </c>
      <c r="CG73" s="140" t="s">
        <v>702</v>
      </c>
      <c r="CH73" s="140" t="s">
        <v>97</v>
      </c>
      <c r="CI73" s="140" t="s">
        <v>706</v>
      </c>
      <c r="CJ73" s="140" t="s">
        <v>120</v>
      </c>
      <c r="CK73" s="140" t="s">
        <v>522</v>
      </c>
      <c r="CL73" s="140" t="s">
        <v>167</v>
      </c>
      <c r="CM73" s="140" t="s">
        <v>115</v>
      </c>
      <c r="CN73" s="140" t="s">
        <v>100</v>
      </c>
      <c r="CO73" s="140" t="s">
        <v>820</v>
      </c>
      <c r="CP73" s="140" t="s">
        <v>817</v>
      </c>
      <c r="CQ73" s="140" t="s">
        <v>116</v>
      </c>
      <c r="CR73" s="140" t="s">
        <v>815</v>
      </c>
      <c r="CS73" s="140" t="s">
        <v>97</v>
      </c>
      <c r="CT73" s="140" t="s">
        <v>762</v>
      </c>
      <c r="CU73" s="140" t="s">
        <v>530</v>
      </c>
      <c r="CV73" s="140" t="s">
        <v>164</v>
      </c>
      <c r="CW73" s="140" t="s">
        <v>127</v>
      </c>
      <c r="CX73" s="140" t="s">
        <v>123</v>
      </c>
      <c r="CY73" s="140" t="s">
        <v>793</v>
      </c>
      <c r="CZ73" s="140" t="s">
        <v>148</v>
      </c>
      <c r="DA73" s="140" t="s">
        <v>171</v>
      </c>
      <c r="DB73" s="140" t="s">
        <v>786</v>
      </c>
      <c r="DC73" s="140" t="s">
        <v>108</v>
      </c>
      <c r="DD73" s="140" t="s">
        <v>107</v>
      </c>
      <c r="DE73" s="113" t="s">
        <v>175</v>
      </c>
      <c r="DF73" s="113" t="s">
        <v>769</v>
      </c>
      <c r="DG73" s="113" t="s">
        <v>177</v>
      </c>
      <c r="DH73" s="113" t="s">
        <v>123</v>
      </c>
      <c r="DI73" s="113" t="s">
        <v>762</v>
      </c>
      <c r="DJ73" s="113" t="s">
        <v>97</v>
      </c>
      <c r="DK73" s="113" t="s">
        <v>97</v>
      </c>
      <c r="DL73" s="113" t="s">
        <v>105</v>
      </c>
      <c r="DM73" s="113" t="s">
        <v>178</v>
      </c>
      <c r="DN73" s="113" t="s">
        <v>128</v>
      </c>
      <c r="DO73" s="113" t="s">
        <v>105</v>
      </c>
      <c r="DP73" s="114" t="s">
        <v>115</v>
      </c>
      <c r="DW73" s="205" t="s">
        <v>97</v>
      </c>
      <c r="DX73" s="114" t="s">
        <v>97</v>
      </c>
      <c r="DY73" s="114" t="s">
        <v>97</v>
      </c>
      <c r="DZ73" s="114" t="s">
        <v>97</v>
      </c>
    </row>
    <row r="74" spans="1:130" s="185" customFormat="1">
      <c r="A74" s="658"/>
      <c r="B74" s="57" t="str">
        <f t="shared" si="7"/>
        <v xml:space="preserve"> </v>
      </c>
      <c r="C74" s="57" t="str">
        <f t="shared" si="10"/>
        <v xml:space="preserve"> </v>
      </c>
      <c r="D74" s="57" t="str">
        <f t="shared" si="11"/>
        <v>Uniforme</v>
      </c>
      <c r="E74" s="84" t="str">
        <f t="shared" si="12"/>
        <v xml:space="preserve"> </v>
      </c>
      <c r="F74" s="650"/>
      <c r="G74" s="64" t="s">
        <v>97</v>
      </c>
      <c r="H74" s="140" t="s">
        <v>101</v>
      </c>
      <c r="I74" s="140" t="s">
        <v>103</v>
      </c>
      <c r="J74" s="140" t="s">
        <v>885</v>
      </c>
      <c r="K74" s="140" t="s">
        <v>97</v>
      </c>
      <c r="L74" s="140" t="s">
        <v>131</v>
      </c>
      <c r="M74" s="140" t="s">
        <v>97</v>
      </c>
      <c r="N74" s="140" t="s">
        <v>881</v>
      </c>
      <c r="O74" s="140" t="s">
        <v>530</v>
      </c>
      <c r="P74" s="140" t="s">
        <v>97</v>
      </c>
      <c r="Q74" s="140" t="s">
        <v>97</v>
      </c>
      <c r="R74" s="140" t="s">
        <v>106</v>
      </c>
      <c r="S74" s="140" t="s">
        <v>530</v>
      </c>
      <c r="T74" s="140" t="s">
        <v>904</v>
      </c>
      <c r="U74" s="140" t="s">
        <v>113</v>
      </c>
      <c r="V74" s="140" t="s">
        <v>770</v>
      </c>
      <c r="W74" s="140" t="s">
        <v>906</v>
      </c>
      <c r="X74" s="140" t="s">
        <v>100</v>
      </c>
      <c r="Y74" s="140" t="s">
        <v>524</v>
      </c>
      <c r="Z74" s="140" t="s">
        <v>687</v>
      </c>
      <c r="AA74" s="140" t="s">
        <v>912</v>
      </c>
      <c r="AB74" s="140" t="s">
        <v>168</v>
      </c>
      <c r="AC74" s="140" t="s">
        <v>104</v>
      </c>
      <c r="AD74" s="140" t="s">
        <v>770</v>
      </c>
      <c r="AE74" s="140" t="s">
        <v>755</v>
      </c>
      <c r="AF74" s="140" t="s">
        <v>798</v>
      </c>
      <c r="AG74" s="140" t="s">
        <v>152</v>
      </c>
      <c r="AH74" s="140" t="s">
        <v>97</v>
      </c>
      <c r="AI74" s="140" t="s">
        <v>97</v>
      </c>
      <c r="AJ74" s="140" t="s">
        <v>126</v>
      </c>
      <c r="AK74" s="140" t="s">
        <v>116</v>
      </c>
      <c r="AL74" s="140" t="s">
        <v>757</v>
      </c>
      <c r="AM74" s="140" t="s">
        <v>97</v>
      </c>
      <c r="AN74" s="140" t="s">
        <v>133</v>
      </c>
      <c r="AO74" s="140" t="s">
        <v>104</v>
      </c>
      <c r="AP74" s="315" t="s">
        <v>97</v>
      </c>
      <c r="AQ74" s="140" t="s">
        <v>97</v>
      </c>
      <c r="AR74" s="140" t="s">
        <v>179</v>
      </c>
      <c r="AS74" s="140" t="s">
        <v>120</v>
      </c>
      <c r="AT74" s="140" t="s">
        <v>117</v>
      </c>
      <c r="AU74" s="140" t="s">
        <v>125</v>
      </c>
      <c r="AV74" s="140" t="s">
        <v>127</v>
      </c>
      <c r="AW74" s="140" t="s">
        <v>97</v>
      </c>
      <c r="AX74" s="140" t="s">
        <v>130</v>
      </c>
      <c r="AY74" s="140" t="s">
        <v>97</v>
      </c>
      <c r="AZ74" s="140" t="s">
        <v>97</v>
      </c>
      <c r="BA74" s="140" t="s">
        <v>687</v>
      </c>
      <c r="BB74" s="140" t="s">
        <v>105</v>
      </c>
      <c r="BC74" s="140" t="s">
        <v>152</v>
      </c>
      <c r="BD74" s="140" t="s">
        <v>148</v>
      </c>
      <c r="BE74" s="140" t="s">
        <v>139</v>
      </c>
      <c r="BF74" s="140" t="s">
        <v>874</v>
      </c>
      <c r="BG74" s="140" t="s">
        <v>100</v>
      </c>
      <c r="BH74" s="140" t="s">
        <v>122</v>
      </c>
      <c r="BI74" s="140" t="s">
        <v>107</v>
      </c>
      <c r="BJ74" s="140" t="s">
        <v>97</v>
      </c>
      <c r="BK74" s="140" t="s">
        <v>873</v>
      </c>
      <c r="BL74" s="140" t="s">
        <v>104</v>
      </c>
      <c r="BM74" s="140" t="s">
        <v>871</v>
      </c>
      <c r="BN74" s="140" t="s">
        <v>97</v>
      </c>
      <c r="BO74" s="140" t="s">
        <v>97</v>
      </c>
      <c r="BP74" s="140" t="s">
        <v>106</v>
      </c>
      <c r="BQ74" s="140" t="s">
        <v>97</v>
      </c>
      <c r="BR74" s="140" t="s">
        <v>97</v>
      </c>
      <c r="BS74" s="140" t="s">
        <v>97</v>
      </c>
      <c r="BT74" s="140" t="s">
        <v>858</v>
      </c>
      <c r="BU74" s="140" t="s">
        <v>97</v>
      </c>
      <c r="BV74" s="140" t="s">
        <v>100</v>
      </c>
      <c r="BW74" s="140" t="s">
        <v>97</v>
      </c>
      <c r="BX74" s="140" t="s">
        <v>97</v>
      </c>
      <c r="BY74" s="140" t="s">
        <v>153</v>
      </c>
      <c r="BZ74" s="140" t="s">
        <v>107</v>
      </c>
      <c r="CA74" s="140" t="s">
        <v>123</v>
      </c>
      <c r="CB74" s="140" t="s">
        <v>148</v>
      </c>
      <c r="CC74" s="140" t="s">
        <v>161</v>
      </c>
      <c r="CD74" s="140" t="s">
        <v>839</v>
      </c>
      <c r="CE74" s="140" t="s">
        <v>807</v>
      </c>
      <c r="CF74" s="140" t="s">
        <v>97</v>
      </c>
      <c r="CG74" s="140" t="s">
        <v>162</v>
      </c>
      <c r="CH74" s="140" t="s">
        <v>97</v>
      </c>
      <c r="CI74" s="140" t="s">
        <v>116</v>
      </c>
      <c r="CJ74" s="140" t="s">
        <v>126</v>
      </c>
      <c r="CK74" s="140" t="s">
        <v>165</v>
      </c>
      <c r="CL74" s="140" t="s">
        <v>97</v>
      </c>
      <c r="CM74" s="140" t="s">
        <v>142</v>
      </c>
      <c r="CN74" s="140" t="s">
        <v>107</v>
      </c>
      <c r="CO74" s="140" t="s">
        <v>128</v>
      </c>
      <c r="CP74" s="140" t="s">
        <v>818</v>
      </c>
      <c r="CQ74" s="140" t="s">
        <v>104</v>
      </c>
      <c r="CR74" s="140" t="s">
        <v>97</v>
      </c>
      <c r="CS74" s="140" t="s">
        <v>97</v>
      </c>
      <c r="CT74" s="140" t="s">
        <v>806</v>
      </c>
      <c r="CU74" s="140" t="s">
        <v>97</v>
      </c>
      <c r="CV74" s="140" t="s">
        <v>139</v>
      </c>
      <c r="CW74" s="140" t="s">
        <v>97</v>
      </c>
      <c r="CX74" s="140" t="s">
        <v>100</v>
      </c>
      <c r="CY74" s="140" t="s">
        <v>771</v>
      </c>
      <c r="CZ74" s="140" t="s">
        <v>790</v>
      </c>
      <c r="DA74" s="140" t="s">
        <v>172</v>
      </c>
      <c r="DB74" s="140" t="s">
        <v>97</v>
      </c>
      <c r="DC74" s="140" t="s">
        <v>142</v>
      </c>
      <c r="DD74" s="140" t="s">
        <v>97</v>
      </c>
      <c r="DE74" s="113" t="s">
        <v>111</v>
      </c>
      <c r="DF74" s="113" t="s">
        <v>176</v>
      </c>
      <c r="DG74" s="113" t="s">
        <v>97</v>
      </c>
      <c r="DH74" s="113" t="s">
        <v>126</v>
      </c>
      <c r="DI74" s="113" t="s">
        <v>142</v>
      </c>
      <c r="DJ74" s="113" t="s">
        <v>97</v>
      </c>
      <c r="DK74" s="113" t="s">
        <v>97</v>
      </c>
      <c r="DL74" s="113" t="s">
        <v>104</v>
      </c>
      <c r="DM74" s="113" t="s">
        <v>154</v>
      </c>
      <c r="DN74" s="113" t="s">
        <v>141</v>
      </c>
      <c r="DO74" s="113" t="s">
        <v>97</v>
      </c>
      <c r="DP74" s="114" t="s">
        <v>104</v>
      </c>
      <c r="DW74" s="205" t="s">
        <v>97</v>
      </c>
      <c r="DX74" s="114" t="s">
        <v>97</v>
      </c>
      <c r="DY74" s="114" t="s">
        <v>97</v>
      </c>
      <c r="DZ74" s="114" t="s">
        <v>97</v>
      </c>
    </row>
    <row r="75" spans="1:130" s="185" customFormat="1">
      <c r="A75" s="658"/>
      <c r="B75" s="57" t="str">
        <f t="shared" si="7"/>
        <v xml:space="preserve"> </v>
      </c>
      <c r="C75" s="57" t="str">
        <f t="shared" si="10"/>
        <v xml:space="preserve"> </v>
      </c>
      <c r="D75" s="57" t="str">
        <f t="shared" si="11"/>
        <v xml:space="preserve"> </v>
      </c>
      <c r="E75" s="84" t="str">
        <f t="shared" si="12"/>
        <v xml:space="preserve"> </v>
      </c>
      <c r="F75" s="650"/>
      <c r="G75" s="64" t="s">
        <v>97</v>
      </c>
      <c r="H75" s="140" t="s">
        <v>97</v>
      </c>
      <c r="I75" s="140" t="s">
        <v>97</v>
      </c>
      <c r="J75" s="140" t="s">
        <v>886</v>
      </c>
      <c r="K75" s="140" t="s">
        <v>97</v>
      </c>
      <c r="L75" s="140" t="s">
        <v>807</v>
      </c>
      <c r="M75" s="140" t="s">
        <v>97</v>
      </c>
      <c r="N75" s="140" t="s">
        <v>177</v>
      </c>
      <c r="O75" s="140" t="s">
        <v>113</v>
      </c>
      <c r="P75" s="140" t="s">
        <v>97</v>
      </c>
      <c r="Q75" s="140" t="s">
        <v>97</v>
      </c>
      <c r="R75" s="140" t="s">
        <v>97</v>
      </c>
      <c r="S75" s="140" t="s">
        <v>97</v>
      </c>
      <c r="T75" s="140" t="s">
        <v>97</v>
      </c>
      <c r="U75" s="140" t="s">
        <v>97</v>
      </c>
      <c r="V75" s="140" t="s">
        <v>107</v>
      </c>
      <c r="W75" s="140" t="s">
        <v>907</v>
      </c>
      <c r="X75" s="140" t="s">
        <v>97</v>
      </c>
      <c r="Y75" s="140" t="s">
        <v>702</v>
      </c>
      <c r="Z75" s="140" t="s">
        <v>97</v>
      </c>
      <c r="AA75" s="140" t="s">
        <v>913</v>
      </c>
      <c r="AB75" s="140" t="s">
        <v>113</v>
      </c>
      <c r="AC75" s="140" t="s">
        <v>112</v>
      </c>
      <c r="AD75" s="140" t="s">
        <v>916</v>
      </c>
      <c r="AE75" s="140" t="s">
        <v>100</v>
      </c>
      <c r="AF75" s="140" t="s">
        <v>107</v>
      </c>
      <c r="AG75" s="140" t="s">
        <v>921</v>
      </c>
      <c r="AH75" s="140" t="s">
        <v>97</v>
      </c>
      <c r="AI75" s="140" t="s">
        <v>97</v>
      </c>
      <c r="AJ75" s="140" t="s">
        <v>100</v>
      </c>
      <c r="AK75" s="140" t="s">
        <v>104</v>
      </c>
      <c r="AL75" s="140" t="s">
        <v>100</v>
      </c>
      <c r="AM75" s="140" t="s">
        <v>97</v>
      </c>
      <c r="AN75" s="140" t="s">
        <v>118</v>
      </c>
      <c r="AO75" s="140" t="s">
        <v>97</v>
      </c>
      <c r="AP75" s="140" t="s">
        <v>97</v>
      </c>
      <c r="AQ75" s="140" t="s">
        <v>97</v>
      </c>
      <c r="AR75" s="140" t="s">
        <v>157</v>
      </c>
      <c r="AS75" s="140" t="s">
        <v>524</v>
      </c>
      <c r="AT75" s="140" t="s">
        <v>121</v>
      </c>
      <c r="AU75" s="140" t="s">
        <v>100</v>
      </c>
      <c r="AV75" s="140" t="s">
        <v>97</v>
      </c>
      <c r="AW75" s="140" t="s">
        <v>97</v>
      </c>
      <c r="AX75" s="140" t="s">
        <v>97</v>
      </c>
      <c r="AY75" s="140" t="s">
        <v>97</v>
      </c>
      <c r="AZ75" s="140" t="s">
        <v>97</v>
      </c>
      <c r="BA75" s="140" t="s">
        <v>126</v>
      </c>
      <c r="BB75" s="140" t="s">
        <v>97</v>
      </c>
      <c r="BC75" s="140" t="s">
        <v>838</v>
      </c>
      <c r="BD75" s="140" t="s">
        <v>97</v>
      </c>
      <c r="BE75" s="140" t="s">
        <v>142</v>
      </c>
      <c r="BF75" s="140" t="s">
        <v>100</v>
      </c>
      <c r="BG75" s="140" t="s">
        <v>97</v>
      </c>
      <c r="BH75" s="140" t="s">
        <v>97</v>
      </c>
      <c r="BI75" s="140" t="s">
        <v>126</v>
      </c>
      <c r="BJ75" s="140" t="s">
        <v>97</v>
      </c>
      <c r="BK75" s="140" t="s">
        <v>141</v>
      </c>
      <c r="BL75" s="140" t="s">
        <v>97</v>
      </c>
      <c r="BM75" s="140" t="s">
        <v>97</v>
      </c>
      <c r="BN75" s="140" t="s">
        <v>97</v>
      </c>
      <c r="BO75" s="140" t="s">
        <v>97</v>
      </c>
      <c r="BP75" s="140" t="s">
        <v>757</v>
      </c>
      <c r="BQ75" s="140" t="s">
        <v>97</v>
      </c>
      <c r="BR75" s="140" t="s">
        <v>97</v>
      </c>
      <c r="BS75" s="140" t="s">
        <v>97</v>
      </c>
      <c r="BT75" s="140" t="s">
        <v>97</v>
      </c>
      <c r="BU75" s="140" t="s">
        <v>97</v>
      </c>
      <c r="BV75" s="140" t="s">
        <v>107</v>
      </c>
      <c r="BW75" s="140" t="s">
        <v>97</v>
      </c>
      <c r="BX75" s="140" t="s">
        <v>97</v>
      </c>
      <c r="BY75" s="140" t="s">
        <v>154</v>
      </c>
      <c r="BZ75" s="140" t="s">
        <v>100</v>
      </c>
      <c r="CA75" s="140" t="s">
        <v>107</v>
      </c>
      <c r="CB75" s="140" t="s">
        <v>159</v>
      </c>
      <c r="CC75" s="140" t="s">
        <v>173</v>
      </c>
      <c r="CD75" s="140" t="s">
        <v>152</v>
      </c>
      <c r="CE75" s="140" t="s">
        <v>97</v>
      </c>
      <c r="CF75" s="140" t="s">
        <v>97</v>
      </c>
      <c r="CG75" s="140" t="s">
        <v>123</v>
      </c>
      <c r="CH75" s="140" t="s">
        <v>97</v>
      </c>
      <c r="CI75" s="140" t="s">
        <v>717</v>
      </c>
      <c r="CJ75" s="140" t="s">
        <v>100</v>
      </c>
      <c r="CK75" s="140" t="s">
        <v>97</v>
      </c>
      <c r="CL75" s="140" t="s">
        <v>97</v>
      </c>
      <c r="CM75" s="140" t="s">
        <v>108</v>
      </c>
      <c r="CN75" s="140" t="s">
        <v>807</v>
      </c>
      <c r="CO75" s="140" t="s">
        <v>821</v>
      </c>
      <c r="CP75" s="140" t="s">
        <v>97</v>
      </c>
      <c r="CQ75" s="140" t="s">
        <v>157</v>
      </c>
      <c r="CR75" s="140" t="s">
        <v>97</v>
      </c>
      <c r="CS75" s="140" t="s">
        <v>97</v>
      </c>
      <c r="CT75" s="140" t="s">
        <v>116</v>
      </c>
      <c r="CU75" s="140" t="s">
        <v>97</v>
      </c>
      <c r="CV75" s="140" t="s">
        <v>169</v>
      </c>
      <c r="CW75" s="140" t="s">
        <v>97</v>
      </c>
      <c r="CX75" s="140" t="s">
        <v>530</v>
      </c>
      <c r="CY75" s="140" t="s">
        <v>116</v>
      </c>
      <c r="CZ75" s="140" t="s">
        <v>97</v>
      </c>
      <c r="DA75" s="140" t="s">
        <v>127</v>
      </c>
      <c r="DB75" s="140" t="s">
        <v>97</v>
      </c>
      <c r="DC75" s="140" t="s">
        <v>173</v>
      </c>
      <c r="DD75" s="140" t="s">
        <v>97</v>
      </c>
      <c r="DE75" s="113" t="s">
        <v>161</v>
      </c>
      <c r="DF75" s="113" t="s">
        <v>107</v>
      </c>
      <c r="DG75" s="113" t="s">
        <v>97</v>
      </c>
      <c r="DH75" s="113" t="s">
        <v>100</v>
      </c>
      <c r="DI75" s="113" t="s">
        <v>173</v>
      </c>
      <c r="DJ75" s="113" t="s">
        <v>97</v>
      </c>
      <c r="DK75" s="113" t="s">
        <v>97</v>
      </c>
      <c r="DL75" s="113" t="s">
        <v>97</v>
      </c>
      <c r="DM75" s="113" t="s">
        <v>132</v>
      </c>
      <c r="DN75" s="113" t="s">
        <v>97</v>
      </c>
      <c r="DO75" s="113" t="s">
        <v>97</v>
      </c>
      <c r="DP75" s="114" t="s">
        <v>181</v>
      </c>
      <c r="DW75" s="205" t="s">
        <v>97</v>
      </c>
      <c r="DX75" s="114" t="s">
        <v>97</v>
      </c>
      <c r="DY75" s="114" t="s">
        <v>97</v>
      </c>
      <c r="DZ75" s="114" t="s">
        <v>97</v>
      </c>
    </row>
    <row r="76" spans="1:130" s="185" customFormat="1">
      <c r="A76" s="658"/>
      <c r="B76" s="57" t="str">
        <f t="shared" si="7"/>
        <v xml:space="preserve"> </v>
      </c>
      <c r="C76" s="57" t="str">
        <f t="shared" si="10"/>
        <v xml:space="preserve"> </v>
      </c>
      <c r="D76" s="57" t="str">
        <f t="shared" si="11"/>
        <v xml:space="preserve"> </v>
      </c>
      <c r="E76" s="84" t="str">
        <f t="shared" si="12"/>
        <v xml:space="preserve"> </v>
      </c>
      <c r="F76" s="650"/>
      <c r="G76" s="64" t="s">
        <v>97</v>
      </c>
      <c r="H76" s="140" t="s">
        <v>97</v>
      </c>
      <c r="I76" s="140" t="s">
        <v>97</v>
      </c>
      <c r="J76" s="314" t="s">
        <v>97</v>
      </c>
      <c r="K76" s="140" t="s">
        <v>97</v>
      </c>
      <c r="L76" s="140" t="s">
        <v>887</v>
      </c>
      <c r="M76" s="140" t="s">
        <v>97</v>
      </c>
      <c r="N76" s="140" t="s">
        <v>123</v>
      </c>
      <c r="O76" s="140" t="s">
        <v>890</v>
      </c>
      <c r="P76" s="140" t="s">
        <v>97</v>
      </c>
      <c r="Q76" s="140" t="s">
        <v>97</v>
      </c>
      <c r="R76" s="140" t="s">
        <v>97</v>
      </c>
      <c r="S76" s="140" t="s">
        <v>97</v>
      </c>
      <c r="T76" s="140" t="s">
        <v>97</v>
      </c>
      <c r="U76" s="140" t="s">
        <v>97</v>
      </c>
      <c r="V76" s="140" t="s">
        <v>886</v>
      </c>
      <c r="W76" s="140" t="s">
        <v>97</v>
      </c>
      <c r="X76" s="140" t="s">
        <v>97</v>
      </c>
      <c r="Y76" s="140" t="s">
        <v>807</v>
      </c>
      <c r="Z76" s="140" t="s">
        <v>97</v>
      </c>
      <c r="AA76" s="140" t="s">
        <v>914</v>
      </c>
      <c r="AB76" s="140" t="s">
        <v>97</v>
      </c>
      <c r="AC76" s="140" t="s">
        <v>114</v>
      </c>
      <c r="AD76" s="140" t="s">
        <v>917</v>
      </c>
      <c r="AE76" s="140" t="s">
        <v>123</v>
      </c>
      <c r="AF76" s="140" t="s">
        <v>152</v>
      </c>
      <c r="AG76" s="314" t="s">
        <v>97</v>
      </c>
      <c r="AH76" s="140" t="s">
        <v>97</v>
      </c>
      <c r="AI76" s="140" t="s">
        <v>97</v>
      </c>
      <c r="AJ76" s="140" t="s">
        <v>185</v>
      </c>
      <c r="AK76" s="140" t="s">
        <v>126</v>
      </c>
      <c r="AL76" s="140" t="s">
        <v>795</v>
      </c>
      <c r="AM76" s="140" t="s">
        <v>97</v>
      </c>
      <c r="AN76" s="140" t="s">
        <v>97</v>
      </c>
      <c r="AO76" s="140" t="s">
        <v>97</v>
      </c>
      <c r="AP76" s="140" t="s">
        <v>97</v>
      </c>
      <c r="AQ76" s="140" t="s">
        <v>97</v>
      </c>
      <c r="AR76" s="140" t="s">
        <v>97</v>
      </c>
      <c r="AS76" s="140" t="s">
        <v>97</v>
      </c>
      <c r="AT76" s="140" t="s">
        <v>100</v>
      </c>
      <c r="AU76" s="140" t="s">
        <v>107</v>
      </c>
      <c r="AV76" s="140" t="s">
        <v>97</v>
      </c>
      <c r="AW76" s="140" t="s">
        <v>97</v>
      </c>
      <c r="AX76" s="140" t="s">
        <v>97</v>
      </c>
      <c r="AY76" s="140" t="s">
        <v>97</v>
      </c>
      <c r="AZ76" s="140" t="s">
        <v>97</v>
      </c>
      <c r="BA76" s="140" t="s">
        <v>100</v>
      </c>
      <c r="BB76" s="140" t="s">
        <v>97</v>
      </c>
      <c r="BC76" s="140" t="s">
        <v>97</v>
      </c>
      <c r="BD76" s="140" t="s">
        <v>97</v>
      </c>
      <c r="BE76" s="140" t="s">
        <v>141</v>
      </c>
      <c r="BF76" s="140" t="s">
        <v>97</v>
      </c>
      <c r="BG76" s="140" t="s">
        <v>97</v>
      </c>
      <c r="BH76" s="140" t="s">
        <v>97</v>
      </c>
      <c r="BI76" s="140" t="s">
        <v>100</v>
      </c>
      <c r="BJ76" s="140" t="s">
        <v>97</v>
      </c>
      <c r="BK76" s="140" t="s">
        <v>97</v>
      </c>
      <c r="BL76" s="140" t="s">
        <v>97</v>
      </c>
      <c r="BM76" s="140" t="s">
        <v>97</v>
      </c>
      <c r="BN76" s="140" t="s">
        <v>97</v>
      </c>
      <c r="BO76" s="140" t="s">
        <v>97</v>
      </c>
      <c r="BP76" s="140" t="s">
        <v>100</v>
      </c>
      <c r="BQ76" s="140" t="s">
        <v>97</v>
      </c>
      <c r="BR76" s="140" t="s">
        <v>97</v>
      </c>
      <c r="BS76" s="140" t="s">
        <v>97</v>
      </c>
      <c r="BT76" s="140" t="s">
        <v>97</v>
      </c>
      <c r="BU76" s="140" t="s">
        <v>97</v>
      </c>
      <c r="BV76" s="140" t="s">
        <v>131</v>
      </c>
      <c r="BW76" s="140" t="s">
        <v>97</v>
      </c>
      <c r="BX76" s="140" t="s">
        <v>97</v>
      </c>
      <c r="BY76" s="140" t="s">
        <v>97</v>
      </c>
      <c r="BZ76" s="140" t="s">
        <v>126</v>
      </c>
      <c r="CA76" s="140" t="s">
        <v>97</v>
      </c>
      <c r="CB76" s="140" t="s">
        <v>141</v>
      </c>
      <c r="CC76" s="140" t="s">
        <v>768</v>
      </c>
      <c r="CD76" s="140" t="s">
        <v>97</v>
      </c>
      <c r="CE76" s="140" t="s">
        <v>97</v>
      </c>
      <c r="CF76" s="140" t="s">
        <v>97</v>
      </c>
      <c r="CG76" s="140" t="s">
        <v>136</v>
      </c>
      <c r="CH76" s="140" t="s">
        <v>97</v>
      </c>
      <c r="CI76" s="140" t="s">
        <v>120</v>
      </c>
      <c r="CJ76" s="140" t="s">
        <v>107</v>
      </c>
      <c r="CK76" s="140" t="s">
        <v>97</v>
      </c>
      <c r="CL76" s="140" t="s">
        <v>97</v>
      </c>
      <c r="CM76" s="140" t="s">
        <v>802</v>
      </c>
      <c r="CN76" s="140" t="s">
        <v>123</v>
      </c>
      <c r="CO76" s="140" t="s">
        <v>97</v>
      </c>
      <c r="CP76" s="140" t="s">
        <v>97</v>
      </c>
      <c r="CQ76" s="140" t="s">
        <v>155</v>
      </c>
      <c r="CR76" s="140" t="s">
        <v>97</v>
      </c>
      <c r="CS76" s="140" t="s">
        <v>97</v>
      </c>
      <c r="CT76" s="140" t="s">
        <v>808</v>
      </c>
      <c r="CU76" s="140" t="s">
        <v>97</v>
      </c>
      <c r="CV76" s="140" t="s">
        <v>170</v>
      </c>
      <c r="CW76" s="140" t="s">
        <v>97</v>
      </c>
      <c r="CX76" s="140" t="s">
        <v>97</v>
      </c>
      <c r="CY76" s="140" t="s">
        <v>115</v>
      </c>
      <c r="CZ76" s="140" t="s">
        <v>97</v>
      </c>
      <c r="DA76" s="140" t="s">
        <v>523</v>
      </c>
      <c r="DB76" s="140" t="s">
        <v>97</v>
      </c>
      <c r="DC76" s="140" t="s">
        <v>174</v>
      </c>
      <c r="DD76" s="140" t="s">
        <v>97</v>
      </c>
      <c r="DE76" s="113" t="s">
        <v>142</v>
      </c>
      <c r="DF76" s="113" t="s">
        <v>141</v>
      </c>
      <c r="DG76" s="113" t="s">
        <v>97</v>
      </c>
      <c r="DH76" s="113" t="s">
        <v>97</v>
      </c>
      <c r="DI76" s="113" t="s">
        <v>768</v>
      </c>
      <c r="DJ76" s="113" t="s">
        <v>97</v>
      </c>
      <c r="DK76" s="113" t="s">
        <v>97</v>
      </c>
      <c r="DL76" s="113" t="s">
        <v>97</v>
      </c>
      <c r="DM76" s="113" t="s">
        <v>97</v>
      </c>
      <c r="DN76" s="113" t="s">
        <v>97</v>
      </c>
      <c r="DO76" s="113" t="s">
        <v>97</v>
      </c>
      <c r="DP76" s="114" t="s">
        <v>97</v>
      </c>
      <c r="DW76" s="205" t="s">
        <v>97</v>
      </c>
      <c r="DX76" s="114" t="s">
        <v>97</v>
      </c>
      <c r="DY76" s="114" t="s">
        <v>97</v>
      </c>
      <c r="DZ76" s="114" t="s">
        <v>97</v>
      </c>
    </row>
    <row r="77" spans="1:130" s="185" customFormat="1">
      <c r="A77" s="658"/>
      <c r="B77" s="57" t="str">
        <f t="shared" si="7"/>
        <v xml:space="preserve"> </v>
      </c>
      <c r="C77" s="57" t="str">
        <f t="shared" si="10"/>
        <v xml:space="preserve"> </v>
      </c>
      <c r="D77" s="57" t="str">
        <f t="shared" si="11"/>
        <v xml:space="preserve"> </v>
      </c>
      <c r="E77" s="84" t="str">
        <f t="shared" si="12"/>
        <v xml:space="preserve"> </v>
      </c>
      <c r="F77" s="650"/>
      <c r="G77" s="64" t="s">
        <v>97</v>
      </c>
      <c r="H77" s="140" t="s">
        <v>97</v>
      </c>
      <c r="I77" s="140" t="s">
        <v>97</v>
      </c>
      <c r="J77" s="140" t="s">
        <v>97</v>
      </c>
      <c r="K77" s="140" t="s">
        <v>97</v>
      </c>
      <c r="L77" s="140" t="s">
        <v>97</v>
      </c>
      <c r="M77" s="140" t="s">
        <v>97</v>
      </c>
      <c r="N77" s="140" t="s">
        <v>97</v>
      </c>
      <c r="O77" s="314" t="s">
        <v>97</v>
      </c>
      <c r="P77" s="140" t="s">
        <v>97</v>
      </c>
      <c r="Q77" s="140" t="s">
        <v>97</v>
      </c>
      <c r="R77" s="140" t="s">
        <v>97</v>
      </c>
      <c r="S77" s="140" t="s">
        <v>97</v>
      </c>
      <c r="T77" s="140" t="s">
        <v>97</v>
      </c>
      <c r="U77" s="140" t="s">
        <v>97</v>
      </c>
      <c r="V77" s="140" t="s">
        <v>905</v>
      </c>
      <c r="W77" s="140" t="s">
        <v>97</v>
      </c>
      <c r="X77" s="140" t="s">
        <v>97</v>
      </c>
      <c r="Y77" s="140" t="s">
        <v>97</v>
      </c>
      <c r="Z77" s="140" t="s">
        <v>97</v>
      </c>
      <c r="AA77" s="140" t="s">
        <v>97</v>
      </c>
      <c r="AB77" s="140" t="s">
        <v>97</v>
      </c>
      <c r="AC77" s="140" t="s">
        <v>807</v>
      </c>
      <c r="AD77" s="140" t="s">
        <v>97</v>
      </c>
      <c r="AE77" s="140" t="s">
        <v>918</v>
      </c>
      <c r="AF77" s="140" t="s">
        <v>886</v>
      </c>
      <c r="AG77" s="140" t="s">
        <v>97</v>
      </c>
      <c r="AH77" s="140" t="s">
        <v>97</v>
      </c>
      <c r="AI77" s="140" t="s">
        <v>97</v>
      </c>
      <c r="AJ77" s="140" t="s">
        <v>97</v>
      </c>
      <c r="AK77" s="140" t="s">
        <v>107</v>
      </c>
      <c r="AL77" s="140" t="s">
        <v>107</v>
      </c>
      <c r="AM77" s="140" t="s">
        <v>97</v>
      </c>
      <c r="AN77" s="140" t="s">
        <v>97</v>
      </c>
      <c r="AO77" s="140" t="s">
        <v>97</v>
      </c>
      <c r="AP77" s="140" t="s">
        <v>97</v>
      </c>
      <c r="AQ77" s="140" t="s">
        <v>97</v>
      </c>
      <c r="AR77" s="140" t="s">
        <v>97</v>
      </c>
      <c r="AS77" s="140" t="s">
        <v>97</v>
      </c>
      <c r="AT77" s="140" t="s">
        <v>107</v>
      </c>
      <c r="AU77" s="140" t="s">
        <v>123</v>
      </c>
      <c r="AV77" s="140" t="s">
        <v>97</v>
      </c>
      <c r="AW77" s="140" t="s">
        <v>97</v>
      </c>
      <c r="AX77" s="140" t="s">
        <v>97</v>
      </c>
      <c r="AY77" s="140" t="s">
        <v>97</v>
      </c>
      <c r="AZ77" s="140" t="s">
        <v>97</v>
      </c>
      <c r="BA77" s="140" t="s">
        <v>107</v>
      </c>
      <c r="BB77" s="140" t="s">
        <v>97</v>
      </c>
      <c r="BC77" s="140" t="s">
        <v>97</v>
      </c>
      <c r="BD77" s="140" t="s">
        <v>97</v>
      </c>
      <c r="BE77" s="140" t="s">
        <v>97</v>
      </c>
      <c r="BF77" s="140" t="s">
        <v>97</v>
      </c>
      <c r="BG77" s="140" t="s">
        <v>97</v>
      </c>
      <c r="BH77" s="140" t="s">
        <v>97</v>
      </c>
      <c r="BI77" s="140" t="s">
        <v>97</v>
      </c>
      <c r="BJ77" s="140" t="s">
        <v>97</v>
      </c>
      <c r="BK77" s="140" t="s">
        <v>97</v>
      </c>
      <c r="BL77" s="140" t="s">
        <v>97</v>
      </c>
      <c r="BM77" s="140" t="s">
        <v>97</v>
      </c>
      <c r="BN77" s="140" t="s">
        <v>97</v>
      </c>
      <c r="BO77" s="140" t="s">
        <v>97</v>
      </c>
      <c r="BP77" s="140" t="s">
        <v>795</v>
      </c>
      <c r="BQ77" s="140" t="s">
        <v>97</v>
      </c>
      <c r="BR77" s="140" t="s">
        <v>97</v>
      </c>
      <c r="BS77" s="140" t="s">
        <v>97</v>
      </c>
      <c r="BT77" s="140" t="s">
        <v>97</v>
      </c>
      <c r="BU77" s="140" t="s">
        <v>97</v>
      </c>
      <c r="BV77" s="140" t="s">
        <v>807</v>
      </c>
      <c r="BW77" s="140" t="s">
        <v>97</v>
      </c>
      <c r="BX77" s="140" t="s">
        <v>97</v>
      </c>
      <c r="BY77" s="140" t="s">
        <v>97</v>
      </c>
      <c r="BZ77" s="140" t="s">
        <v>157</v>
      </c>
      <c r="CA77" s="140" t="s">
        <v>97</v>
      </c>
      <c r="CB77" s="140" t="s">
        <v>100</v>
      </c>
      <c r="CC77" s="140" t="s">
        <v>100</v>
      </c>
      <c r="CD77" s="140" t="s">
        <v>97</v>
      </c>
      <c r="CE77" s="140" t="s">
        <v>97</v>
      </c>
      <c r="CF77" s="140" t="s">
        <v>97</v>
      </c>
      <c r="CG77" s="140" t="s">
        <v>163</v>
      </c>
      <c r="CH77" s="140" t="s">
        <v>97</v>
      </c>
      <c r="CI77" s="140" t="s">
        <v>97</v>
      </c>
      <c r="CJ77" s="140" t="s">
        <v>807</v>
      </c>
      <c r="CK77" s="140" t="s">
        <v>97</v>
      </c>
      <c r="CL77" s="140" t="s">
        <v>97</v>
      </c>
      <c r="CM77" s="140" t="s">
        <v>100</v>
      </c>
      <c r="CN77" s="140" t="s">
        <v>97</v>
      </c>
      <c r="CO77" s="140" t="s">
        <v>97</v>
      </c>
      <c r="CP77" s="140" t="s">
        <v>97</v>
      </c>
      <c r="CQ77" s="140" t="s">
        <v>97</v>
      </c>
      <c r="CR77" s="140" t="s">
        <v>97</v>
      </c>
      <c r="CS77" s="140" t="s">
        <v>97</v>
      </c>
      <c r="CT77" s="140" t="s">
        <v>804</v>
      </c>
      <c r="CU77" s="140" t="s">
        <v>97</v>
      </c>
      <c r="CV77" s="140" t="s">
        <v>97</v>
      </c>
      <c r="CW77" s="140" t="s">
        <v>97</v>
      </c>
      <c r="CX77" s="140" t="s">
        <v>97</v>
      </c>
      <c r="CY77" s="140" t="s">
        <v>794</v>
      </c>
      <c r="CZ77" s="140" t="s">
        <v>97</v>
      </c>
      <c r="DA77" s="140" t="s">
        <v>97</v>
      </c>
      <c r="DB77" s="140" t="s">
        <v>97</v>
      </c>
      <c r="DC77" s="140" t="s">
        <v>97</v>
      </c>
      <c r="DD77" s="140" t="s">
        <v>97</v>
      </c>
      <c r="DE77" s="113" t="s">
        <v>97</v>
      </c>
      <c r="DF77" s="113" t="s">
        <v>97</v>
      </c>
      <c r="DG77" s="113" t="s">
        <v>97</v>
      </c>
      <c r="DH77" s="113" t="s">
        <v>97</v>
      </c>
      <c r="DI77" s="113" t="s">
        <v>97</v>
      </c>
      <c r="DJ77" s="113" t="s">
        <v>97</v>
      </c>
      <c r="DK77" s="113" t="s">
        <v>97</v>
      </c>
      <c r="DL77" s="113" t="s">
        <v>97</v>
      </c>
      <c r="DM77" s="113" t="s">
        <v>97</v>
      </c>
      <c r="DN77" s="113" t="s">
        <v>97</v>
      </c>
      <c r="DO77" s="113" t="s">
        <v>97</v>
      </c>
      <c r="DP77" s="114" t="s">
        <v>97</v>
      </c>
      <c r="DW77" s="205" t="s">
        <v>97</v>
      </c>
      <c r="DX77" s="114" t="s">
        <v>97</v>
      </c>
      <c r="DY77" s="114" t="s">
        <v>97</v>
      </c>
      <c r="DZ77" s="114" t="s">
        <v>97</v>
      </c>
    </row>
    <row r="78" spans="1:130" s="185" customFormat="1">
      <c r="A78" s="658"/>
      <c r="B78" s="57" t="str">
        <f>LOOKUP(Race,$DW$1:$DZ$1,DW78:DZ78)</f>
        <v xml:space="preserve"> </v>
      </c>
      <c r="C78" s="57" t="str">
        <f t="shared" si="10"/>
        <v xml:space="preserve"> </v>
      </c>
      <c r="D78" s="57" t="str">
        <f t="shared" si="11"/>
        <v xml:space="preserve"> </v>
      </c>
      <c r="E78" s="84" t="str">
        <f t="shared" si="12"/>
        <v xml:space="preserve"> </v>
      </c>
      <c r="F78" s="650"/>
      <c r="G78" s="64" t="s">
        <v>97</v>
      </c>
      <c r="H78" s="140" t="s">
        <v>97</v>
      </c>
      <c r="I78" s="140" t="s">
        <v>97</v>
      </c>
      <c r="J78" s="140" t="s">
        <v>97</v>
      </c>
      <c r="K78" s="140" t="s">
        <v>97</v>
      </c>
      <c r="L78" s="140" t="s">
        <v>97</v>
      </c>
      <c r="M78" s="140" t="s">
        <v>97</v>
      </c>
      <c r="N78" s="140" t="s">
        <v>97</v>
      </c>
      <c r="O78" s="140" t="s">
        <v>97</v>
      </c>
      <c r="P78" s="140" t="s">
        <v>97</v>
      </c>
      <c r="Q78" s="140" t="s">
        <v>97</v>
      </c>
      <c r="R78" s="140" t="s">
        <v>97</v>
      </c>
      <c r="S78" s="140" t="s">
        <v>97</v>
      </c>
      <c r="T78" s="140" t="s">
        <v>97</v>
      </c>
      <c r="U78" s="140" t="s">
        <v>97</v>
      </c>
      <c r="V78" s="140" t="s">
        <v>97</v>
      </c>
      <c r="W78" s="140" t="s">
        <v>97</v>
      </c>
      <c r="X78" s="140" t="s">
        <v>97</v>
      </c>
      <c r="Y78" s="140" t="s">
        <v>97</v>
      </c>
      <c r="Z78" s="140" t="s">
        <v>97</v>
      </c>
      <c r="AA78" s="140" t="s">
        <v>97</v>
      </c>
      <c r="AB78" s="140" t="s">
        <v>97</v>
      </c>
      <c r="AC78" s="140" t="s">
        <v>97</v>
      </c>
      <c r="AD78" s="140" t="s">
        <v>97</v>
      </c>
      <c r="AE78" s="140" t="s">
        <v>97</v>
      </c>
      <c r="AF78" s="140" t="s">
        <v>97</v>
      </c>
      <c r="AG78" s="140" t="s">
        <v>97</v>
      </c>
      <c r="AH78" s="140" t="s">
        <v>97</v>
      </c>
      <c r="AI78" s="140" t="s">
        <v>97</v>
      </c>
      <c r="AJ78" s="140" t="s">
        <v>97</v>
      </c>
      <c r="AK78" s="314" t="s">
        <v>97</v>
      </c>
      <c r="AL78" s="140" t="s">
        <v>131</v>
      </c>
      <c r="AM78" s="140" t="s">
        <v>97</v>
      </c>
      <c r="AN78" s="140" t="s">
        <v>97</v>
      </c>
      <c r="AO78" s="140" t="s">
        <v>97</v>
      </c>
      <c r="AP78" s="140" t="s">
        <v>97</v>
      </c>
      <c r="AQ78" s="140" t="s">
        <v>97</v>
      </c>
      <c r="AR78" s="140" t="s">
        <v>97</v>
      </c>
      <c r="AS78" s="140" t="s">
        <v>97</v>
      </c>
      <c r="AT78" s="140" t="s">
        <v>123</v>
      </c>
      <c r="AU78" s="140" t="s">
        <v>97</v>
      </c>
      <c r="AV78" s="140" t="s">
        <v>97</v>
      </c>
      <c r="AW78" s="140" t="s">
        <v>97</v>
      </c>
      <c r="AX78" s="140" t="s">
        <v>97</v>
      </c>
      <c r="AY78" s="140" t="s">
        <v>97</v>
      </c>
      <c r="AZ78" s="140" t="s">
        <v>97</v>
      </c>
      <c r="BA78" s="140" t="s">
        <v>836</v>
      </c>
      <c r="BB78" s="140" t="s">
        <v>97</v>
      </c>
      <c r="BC78" s="140" t="s">
        <v>97</v>
      </c>
      <c r="BD78" s="140" t="s">
        <v>97</v>
      </c>
      <c r="BE78" s="140" t="s">
        <v>97</v>
      </c>
      <c r="BF78" s="140" t="s">
        <v>97</v>
      </c>
      <c r="BG78" s="140" t="s">
        <v>97</v>
      </c>
      <c r="BH78" s="140" t="s">
        <v>97</v>
      </c>
      <c r="BI78" s="140" t="s">
        <v>97</v>
      </c>
      <c r="BJ78" s="140" t="s">
        <v>97</v>
      </c>
      <c r="BK78" s="140" t="s">
        <v>97</v>
      </c>
      <c r="BL78" s="140" t="s">
        <v>97</v>
      </c>
      <c r="BM78" s="140" t="s">
        <v>97</v>
      </c>
      <c r="BN78" s="140" t="s">
        <v>97</v>
      </c>
      <c r="BO78" s="140" t="s">
        <v>97</v>
      </c>
      <c r="BP78" s="140" t="s">
        <v>97</v>
      </c>
      <c r="BQ78" s="140" t="s">
        <v>97</v>
      </c>
      <c r="BR78" s="140" t="s">
        <v>97</v>
      </c>
      <c r="BS78" s="140" t="s">
        <v>97</v>
      </c>
      <c r="BT78" s="140" t="s">
        <v>97</v>
      </c>
      <c r="BU78" s="140" t="s">
        <v>97</v>
      </c>
      <c r="BV78" s="140" t="s">
        <v>97</v>
      </c>
      <c r="BW78" s="140" t="s">
        <v>97</v>
      </c>
      <c r="BX78" s="140" t="s">
        <v>97</v>
      </c>
      <c r="BY78" s="140" t="s">
        <v>97</v>
      </c>
      <c r="BZ78" s="140" t="s">
        <v>97</v>
      </c>
      <c r="CA78" s="140" t="s">
        <v>97</v>
      </c>
      <c r="CB78" s="140" t="s">
        <v>97</v>
      </c>
      <c r="CC78" s="140" t="s">
        <v>97</v>
      </c>
      <c r="CD78" s="140" t="s">
        <v>97</v>
      </c>
      <c r="CE78" s="140" t="s">
        <v>97</v>
      </c>
      <c r="CF78" s="140" t="s">
        <v>97</v>
      </c>
      <c r="CG78" s="140" t="s">
        <v>97</v>
      </c>
      <c r="CH78" s="140" t="s">
        <v>97</v>
      </c>
      <c r="CI78" s="140" t="s">
        <v>97</v>
      </c>
      <c r="CJ78" s="140" t="s">
        <v>821</v>
      </c>
      <c r="CK78" s="140" t="s">
        <v>97</v>
      </c>
      <c r="CL78" s="140" t="s">
        <v>97</v>
      </c>
      <c r="CM78" s="140" t="s">
        <v>97</v>
      </c>
      <c r="CN78" s="140" t="s">
        <v>97</v>
      </c>
      <c r="CO78" s="140" t="s">
        <v>97</v>
      </c>
      <c r="CP78" s="140" t="s">
        <v>97</v>
      </c>
      <c r="CQ78" s="140" t="s">
        <v>97</v>
      </c>
      <c r="CR78" s="140" t="s">
        <v>97</v>
      </c>
      <c r="CS78" s="140" t="s">
        <v>97</v>
      </c>
      <c r="CT78" s="140" t="s">
        <v>805</v>
      </c>
      <c r="CU78" s="140" t="s">
        <v>97</v>
      </c>
      <c r="CV78" s="140" t="s">
        <v>97</v>
      </c>
      <c r="CW78" s="140" t="s">
        <v>97</v>
      </c>
      <c r="CX78" s="140" t="s">
        <v>97</v>
      </c>
      <c r="CY78" s="140" t="s">
        <v>97</v>
      </c>
      <c r="CZ78" s="140" t="s">
        <v>97</v>
      </c>
      <c r="DA78" s="140" t="s">
        <v>97</v>
      </c>
      <c r="DB78" s="140" t="s">
        <v>97</v>
      </c>
      <c r="DC78" s="140" t="s">
        <v>97</v>
      </c>
      <c r="DD78" s="140" t="s">
        <v>97</v>
      </c>
      <c r="DE78" s="113" t="s">
        <v>97</v>
      </c>
      <c r="DF78" s="113" t="s">
        <v>97</v>
      </c>
      <c r="DG78" s="113" t="s">
        <v>97</v>
      </c>
      <c r="DH78" s="113" t="s">
        <v>97</v>
      </c>
      <c r="DI78" s="113" t="s">
        <v>97</v>
      </c>
      <c r="DJ78" s="113" t="s">
        <v>97</v>
      </c>
      <c r="DK78" s="113" t="s">
        <v>97</v>
      </c>
      <c r="DL78" s="113" t="s">
        <v>97</v>
      </c>
      <c r="DM78" s="113" t="s">
        <v>97</v>
      </c>
      <c r="DN78" s="113" t="s">
        <v>97</v>
      </c>
      <c r="DO78" s="113" t="s">
        <v>97</v>
      </c>
      <c r="DP78" s="114" t="s">
        <v>97</v>
      </c>
      <c r="DW78" s="205" t="s">
        <v>97</v>
      </c>
      <c r="DX78" s="114" t="s">
        <v>97</v>
      </c>
      <c r="DY78" s="114" t="s">
        <v>97</v>
      </c>
      <c r="DZ78" s="114" t="s">
        <v>97</v>
      </c>
    </row>
    <row r="79" spans="1:130" s="185" customFormat="1">
      <c r="A79" s="658"/>
      <c r="B79" s="57" t="str">
        <f>LOOKUP(Race,$DW$1:$DZ$1,DW79:DZ79)</f>
        <v xml:space="preserve"> </v>
      </c>
      <c r="C79" s="57" t="str">
        <f t="shared" si="10"/>
        <v xml:space="preserve"> </v>
      </c>
      <c r="D79" s="57" t="str">
        <f t="shared" si="11"/>
        <v xml:space="preserve"> </v>
      </c>
      <c r="E79" s="84" t="str">
        <f t="shared" si="12"/>
        <v xml:space="preserve"> </v>
      </c>
      <c r="F79" s="650"/>
      <c r="G79" s="64" t="s">
        <v>97</v>
      </c>
      <c r="H79" s="140" t="s">
        <v>97</v>
      </c>
      <c r="I79" s="140" t="s">
        <v>97</v>
      </c>
      <c r="J79" s="140" t="s">
        <v>97</v>
      </c>
      <c r="K79" s="140" t="s">
        <v>97</v>
      </c>
      <c r="L79" s="140" t="s">
        <v>97</v>
      </c>
      <c r="M79" s="140" t="s">
        <v>97</v>
      </c>
      <c r="N79" s="140" t="s">
        <v>97</v>
      </c>
      <c r="O79" s="140" t="s">
        <v>97</v>
      </c>
      <c r="P79" s="140" t="s">
        <v>97</v>
      </c>
      <c r="Q79" s="140" t="s">
        <v>97</v>
      </c>
      <c r="R79" s="140" t="s">
        <v>97</v>
      </c>
      <c r="S79" s="140" t="s">
        <v>97</v>
      </c>
      <c r="T79" s="140" t="s">
        <v>97</v>
      </c>
      <c r="U79" s="140" t="s">
        <v>97</v>
      </c>
      <c r="V79" s="140" t="s">
        <v>97</v>
      </c>
      <c r="W79" s="140" t="s">
        <v>97</v>
      </c>
      <c r="X79" s="140" t="s">
        <v>97</v>
      </c>
      <c r="Y79" s="140" t="s">
        <v>97</v>
      </c>
      <c r="Z79" s="140" t="s">
        <v>97</v>
      </c>
      <c r="AA79" s="140" t="s">
        <v>97</v>
      </c>
      <c r="AB79" s="140" t="s">
        <v>97</v>
      </c>
      <c r="AC79" s="140" t="s">
        <v>97</v>
      </c>
      <c r="AD79" s="140" t="s">
        <v>97</v>
      </c>
      <c r="AE79" s="140" t="s">
        <v>97</v>
      </c>
      <c r="AF79" s="140" t="s">
        <v>97</v>
      </c>
      <c r="AG79" s="140" t="s">
        <v>97</v>
      </c>
      <c r="AH79" s="140" t="s">
        <v>97</v>
      </c>
      <c r="AI79" s="140" t="s">
        <v>97</v>
      </c>
      <c r="AJ79" s="140" t="s">
        <v>97</v>
      </c>
      <c r="AK79" s="140" t="s">
        <v>97</v>
      </c>
      <c r="AL79" s="140" t="s">
        <v>807</v>
      </c>
      <c r="AM79" s="140" t="s">
        <v>97</v>
      </c>
      <c r="AN79" s="140" t="s">
        <v>97</v>
      </c>
      <c r="AO79" s="140" t="s">
        <v>97</v>
      </c>
      <c r="AP79" s="140" t="s">
        <v>97</v>
      </c>
      <c r="AQ79" s="140" t="s">
        <v>97</v>
      </c>
      <c r="AR79" s="140" t="s">
        <v>97</v>
      </c>
      <c r="AS79" s="140" t="s">
        <v>97</v>
      </c>
      <c r="AT79" s="140" t="s">
        <v>807</v>
      </c>
      <c r="AU79" s="140" t="s">
        <v>97</v>
      </c>
      <c r="AV79" s="140" t="s">
        <v>97</v>
      </c>
      <c r="AW79" s="140" t="s">
        <v>97</v>
      </c>
      <c r="AX79" s="140" t="s">
        <v>97</v>
      </c>
      <c r="AY79" s="140" t="s">
        <v>97</v>
      </c>
      <c r="AZ79" s="140" t="s">
        <v>97</v>
      </c>
      <c r="BA79" s="140" t="s">
        <v>858</v>
      </c>
      <c r="BB79" s="140" t="s">
        <v>97</v>
      </c>
      <c r="BC79" s="140" t="s">
        <v>97</v>
      </c>
      <c r="BD79" s="140" t="s">
        <v>97</v>
      </c>
      <c r="BE79" s="140" t="s">
        <v>97</v>
      </c>
      <c r="BF79" s="140" t="s">
        <v>97</v>
      </c>
      <c r="BG79" s="140" t="s">
        <v>97</v>
      </c>
      <c r="BH79" s="140" t="s">
        <v>97</v>
      </c>
      <c r="BI79" s="140" t="s">
        <v>97</v>
      </c>
      <c r="BJ79" s="140" t="s">
        <v>97</v>
      </c>
      <c r="BK79" s="140" t="s">
        <v>97</v>
      </c>
      <c r="BL79" s="140" t="s">
        <v>97</v>
      </c>
      <c r="BM79" s="140" t="s">
        <v>97</v>
      </c>
      <c r="BN79" s="140" t="s">
        <v>97</v>
      </c>
      <c r="BO79" s="140" t="s">
        <v>97</v>
      </c>
      <c r="BP79" s="140" t="s">
        <v>97</v>
      </c>
      <c r="BQ79" s="140" t="s">
        <v>97</v>
      </c>
      <c r="BR79" s="140" t="s">
        <v>97</v>
      </c>
      <c r="BS79" s="140" t="s">
        <v>97</v>
      </c>
      <c r="BT79" s="140" t="s">
        <v>97</v>
      </c>
      <c r="BU79" s="140" t="s">
        <v>97</v>
      </c>
      <c r="BV79" s="140" t="s">
        <v>97</v>
      </c>
      <c r="BW79" s="140" t="s">
        <v>97</v>
      </c>
      <c r="BX79" s="140" t="s">
        <v>97</v>
      </c>
      <c r="BY79" s="140" t="s">
        <v>97</v>
      </c>
      <c r="BZ79" s="140" t="s">
        <v>97</v>
      </c>
      <c r="CA79" s="140" t="s">
        <v>97</v>
      </c>
      <c r="CB79" s="140" t="s">
        <v>97</v>
      </c>
      <c r="CC79" s="140" t="s">
        <v>97</v>
      </c>
      <c r="CD79" s="140" t="s">
        <v>97</v>
      </c>
      <c r="CE79" s="140" t="s">
        <v>97</v>
      </c>
      <c r="CF79" s="140" t="s">
        <v>97</v>
      </c>
      <c r="CG79" s="140" t="s">
        <v>97</v>
      </c>
      <c r="CH79" s="140" t="s">
        <v>97</v>
      </c>
      <c r="CI79" s="140" t="s">
        <v>97</v>
      </c>
      <c r="CJ79" s="140" t="s">
        <v>97</v>
      </c>
      <c r="CK79" s="140" t="s">
        <v>97</v>
      </c>
      <c r="CL79" s="140" t="s">
        <v>97</v>
      </c>
      <c r="CM79" s="140" t="s">
        <v>97</v>
      </c>
      <c r="CN79" s="140" t="s">
        <v>97</v>
      </c>
      <c r="CO79" s="140" t="s">
        <v>97</v>
      </c>
      <c r="CP79" s="140" t="s">
        <v>97</v>
      </c>
      <c r="CQ79" s="140" t="s">
        <v>97</v>
      </c>
      <c r="CR79" s="140" t="s">
        <v>97</v>
      </c>
      <c r="CS79" s="140" t="s">
        <v>97</v>
      </c>
      <c r="CT79" s="140" t="s">
        <v>97</v>
      </c>
      <c r="CU79" s="140" t="s">
        <v>97</v>
      </c>
      <c r="CV79" s="140" t="s">
        <v>97</v>
      </c>
      <c r="CW79" s="140" t="s">
        <v>97</v>
      </c>
      <c r="CX79" s="140" t="s">
        <v>97</v>
      </c>
      <c r="CY79" s="140" t="s">
        <v>97</v>
      </c>
      <c r="CZ79" s="140" t="s">
        <v>97</v>
      </c>
      <c r="DA79" s="140" t="s">
        <v>97</v>
      </c>
      <c r="DB79" s="140" t="s">
        <v>97</v>
      </c>
      <c r="DC79" s="140" t="s">
        <v>97</v>
      </c>
      <c r="DD79" s="140" t="s">
        <v>97</v>
      </c>
      <c r="DE79" s="113" t="s">
        <v>97</v>
      </c>
      <c r="DF79" s="113" t="s">
        <v>97</v>
      </c>
      <c r="DG79" s="113" t="s">
        <v>97</v>
      </c>
      <c r="DH79" s="113" t="s">
        <v>97</v>
      </c>
      <c r="DI79" s="113" t="s">
        <v>97</v>
      </c>
      <c r="DJ79" s="113" t="s">
        <v>97</v>
      </c>
      <c r="DK79" s="113" t="s">
        <v>97</v>
      </c>
      <c r="DL79" s="113" t="s">
        <v>97</v>
      </c>
      <c r="DM79" s="113" t="s">
        <v>97</v>
      </c>
      <c r="DN79" s="113" t="s">
        <v>97</v>
      </c>
      <c r="DO79" s="113" t="s">
        <v>97</v>
      </c>
      <c r="DP79" s="114" t="s">
        <v>97</v>
      </c>
      <c r="DW79" s="205" t="s">
        <v>97</v>
      </c>
      <c r="DX79" s="114" t="s">
        <v>97</v>
      </c>
      <c r="DY79" s="114" t="s">
        <v>97</v>
      </c>
      <c r="DZ79" s="114" t="s">
        <v>97</v>
      </c>
    </row>
    <row r="80" spans="1:130" s="185" customFormat="1">
      <c r="A80" s="658"/>
      <c r="B80" s="57" t="str">
        <f>LOOKUP(Race,$DW$1:$DZ$1,DW80:DZ80)</f>
        <v xml:space="preserve"> </v>
      </c>
      <c r="C80" s="57" t="str">
        <f t="shared" si="10"/>
        <v xml:space="preserve"> </v>
      </c>
      <c r="D80" s="57" t="str">
        <f t="shared" si="11"/>
        <v xml:space="preserve"> </v>
      </c>
      <c r="E80" s="84" t="str">
        <f t="shared" si="12"/>
        <v xml:space="preserve"> </v>
      </c>
      <c r="F80" s="650"/>
      <c r="G80" s="64" t="s">
        <v>97</v>
      </c>
      <c r="H80" s="140" t="s">
        <v>97</v>
      </c>
      <c r="I80" s="140" t="s">
        <v>97</v>
      </c>
      <c r="J80" s="140" t="s">
        <v>97</v>
      </c>
      <c r="K80" s="140" t="s">
        <v>97</v>
      </c>
      <c r="L80" s="140" t="s">
        <v>97</v>
      </c>
      <c r="M80" s="140" t="s">
        <v>97</v>
      </c>
      <c r="N80" s="140" t="s">
        <v>97</v>
      </c>
      <c r="O80" s="140" t="s">
        <v>97</v>
      </c>
      <c r="P80" s="140" t="s">
        <v>97</v>
      </c>
      <c r="Q80" s="140" t="s">
        <v>97</v>
      </c>
      <c r="R80" s="140" t="s">
        <v>97</v>
      </c>
      <c r="S80" s="140" t="s">
        <v>97</v>
      </c>
      <c r="T80" s="140" t="s">
        <v>97</v>
      </c>
      <c r="U80" s="140" t="s">
        <v>97</v>
      </c>
      <c r="V80" s="140" t="s">
        <v>97</v>
      </c>
      <c r="W80" s="140" t="s">
        <v>97</v>
      </c>
      <c r="X80" s="140" t="s">
        <v>97</v>
      </c>
      <c r="Y80" s="140" t="s">
        <v>97</v>
      </c>
      <c r="Z80" s="140" t="s">
        <v>97</v>
      </c>
      <c r="AA80" s="140" t="s">
        <v>97</v>
      </c>
      <c r="AB80" s="140" t="s">
        <v>97</v>
      </c>
      <c r="AC80" s="140" t="s">
        <v>97</v>
      </c>
      <c r="AD80" s="140" t="s">
        <v>97</v>
      </c>
      <c r="AE80" s="140" t="s">
        <v>97</v>
      </c>
      <c r="AF80" s="140" t="s">
        <v>97</v>
      </c>
      <c r="AG80" s="140" t="s">
        <v>97</v>
      </c>
      <c r="AH80" s="140" t="s">
        <v>97</v>
      </c>
      <c r="AI80" s="140" t="s">
        <v>97</v>
      </c>
      <c r="AJ80" s="140" t="s">
        <v>97</v>
      </c>
      <c r="AK80" s="140" t="s">
        <v>97</v>
      </c>
      <c r="AL80" s="140" t="s">
        <v>132</v>
      </c>
      <c r="AM80" s="140" t="s">
        <v>97</v>
      </c>
      <c r="AN80" s="140" t="s">
        <v>97</v>
      </c>
      <c r="AO80" s="140" t="s">
        <v>97</v>
      </c>
      <c r="AP80" s="140" t="s">
        <v>97</v>
      </c>
      <c r="AQ80" s="140" t="s">
        <v>97</v>
      </c>
      <c r="AR80" s="140" t="s">
        <v>97</v>
      </c>
      <c r="AS80" s="140" t="s">
        <v>97</v>
      </c>
      <c r="AT80" s="140" t="s">
        <v>97</v>
      </c>
      <c r="AU80" s="140" t="s">
        <v>97</v>
      </c>
      <c r="AV80" s="140" t="s">
        <v>97</v>
      </c>
      <c r="AW80" s="140" t="s">
        <v>97</v>
      </c>
      <c r="AX80" s="140" t="s">
        <v>97</v>
      </c>
      <c r="AY80" s="140" t="s">
        <v>97</v>
      </c>
      <c r="AZ80" s="140" t="s">
        <v>97</v>
      </c>
      <c r="BA80" s="140" t="s">
        <v>123</v>
      </c>
      <c r="BB80" s="140" t="s">
        <v>97</v>
      </c>
      <c r="BC80" s="140" t="s">
        <v>97</v>
      </c>
      <c r="BD80" s="140" t="s">
        <v>97</v>
      </c>
      <c r="BE80" s="140" t="s">
        <v>97</v>
      </c>
      <c r="BF80" s="140" t="s">
        <v>97</v>
      </c>
      <c r="BG80" s="140" t="s">
        <v>97</v>
      </c>
      <c r="BH80" s="140" t="s">
        <v>97</v>
      </c>
      <c r="BI80" s="140" t="s">
        <v>97</v>
      </c>
      <c r="BJ80" s="140" t="s">
        <v>97</v>
      </c>
      <c r="BK80" s="140" t="s">
        <v>97</v>
      </c>
      <c r="BL80" s="140" t="s">
        <v>97</v>
      </c>
      <c r="BM80" s="140" t="s">
        <v>97</v>
      </c>
      <c r="BN80" s="140" t="s">
        <v>97</v>
      </c>
      <c r="BO80" s="140" t="s">
        <v>97</v>
      </c>
      <c r="BP80" s="140" t="s">
        <v>97</v>
      </c>
      <c r="BQ80" s="140" t="s">
        <v>97</v>
      </c>
      <c r="BR80" s="140" t="s">
        <v>97</v>
      </c>
      <c r="BS80" s="140" t="s">
        <v>97</v>
      </c>
      <c r="BT80" s="140" t="s">
        <v>97</v>
      </c>
      <c r="BU80" s="140" t="s">
        <v>97</v>
      </c>
      <c r="BV80" s="140" t="s">
        <v>97</v>
      </c>
      <c r="BW80" s="140" t="s">
        <v>97</v>
      </c>
      <c r="BX80" s="140" t="s">
        <v>97</v>
      </c>
      <c r="BY80" s="140" t="s">
        <v>97</v>
      </c>
      <c r="BZ80" s="140" t="s">
        <v>97</v>
      </c>
      <c r="CA80" s="140" t="s">
        <v>97</v>
      </c>
      <c r="CB80" s="140" t="s">
        <v>97</v>
      </c>
      <c r="CC80" s="140" t="s">
        <v>97</v>
      </c>
      <c r="CD80" s="140" t="s">
        <v>97</v>
      </c>
      <c r="CE80" s="140" t="s">
        <v>97</v>
      </c>
      <c r="CF80" s="140" t="s">
        <v>97</v>
      </c>
      <c r="CG80" s="140" t="s">
        <v>97</v>
      </c>
      <c r="CH80" s="140" t="s">
        <v>97</v>
      </c>
      <c r="CI80" s="140" t="s">
        <v>97</v>
      </c>
      <c r="CJ80" s="140" t="s">
        <v>97</v>
      </c>
      <c r="CK80" s="140" t="s">
        <v>97</v>
      </c>
      <c r="CL80" s="140" t="s">
        <v>97</v>
      </c>
      <c r="CM80" s="140" t="s">
        <v>97</v>
      </c>
      <c r="CN80" s="140" t="s">
        <v>97</v>
      </c>
      <c r="CO80" s="140" t="s">
        <v>97</v>
      </c>
      <c r="CP80" s="140" t="s">
        <v>97</v>
      </c>
      <c r="CQ80" s="140" t="s">
        <v>97</v>
      </c>
      <c r="CR80" s="140" t="s">
        <v>97</v>
      </c>
      <c r="CS80" s="140" t="s">
        <v>97</v>
      </c>
      <c r="CT80" s="140" t="s">
        <v>97</v>
      </c>
      <c r="CU80" s="140" t="s">
        <v>97</v>
      </c>
      <c r="CV80" s="140" t="s">
        <v>97</v>
      </c>
      <c r="CW80" s="140" t="s">
        <v>97</v>
      </c>
      <c r="CX80" s="140" t="s">
        <v>97</v>
      </c>
      <c r="CY80" s="140" t="s">
        <v>97</v>
      </c>
      <c r="CZ80" s="140" t="s">
        <v>97</v>
      </c>
      <c r="DA80" s="140" t="s">
        <v>97</v>
      </c>
      <c r="DB80" s="140" t="s">
        <v>97</v>
      </c>
      <c r="DC80" s="140" t="s">
        <v>97</v>
      </c>
      <c r="DD80" s="140" t="s">
        <v>97</v>
      </c>
      <c r="DE80" s="113" t="s">
        <v>97</v>
      </c>
      <c r="DF80" s="113" t="s">
        <v>97</v>
      </c>
      <c r="DG80" s="113" t="s">
        <v>97</v>
      </c>
      <c r="DH80" s="113" t="s">
        <v>97</v>
      </c>
      <c r="DI80" s="113" t="s">
        <v>97</v>
      </c>
      <c r="DJ80" s="113" t="s">
        <v>97</v>
      </c>
      <c r="DK80" s="113" t="s">
        <v>97</v>
      </c>
      <c r="DL80" s="113" t="s">
        <v>97</v>
      </c>
      <c r="DM80" s="113" t="s">
        <v>97</v>
      </c>
      <c r="DN80" s="113" t="s">
        <v>97</v>
      </c>
      <c r="DO80" s="113" t="s">
        <v>97</v>
      </c>
      <c r="DP80" s="114" t="s">
        <v>97</v>
      </c>
      <c r="DW80" s="205" t="s">
        <v>97</v>
      </c>
      <c r="DX80" s="114" t="s">
        <v>97</v>
      </c>
      <c r="DY80" s="114" t="s">
        <v>97</v>
      </c>
      <c r="DZ80" s="114" t="s">
        <v>97</v>
      </c>
    </row>
    <row r="81" spans="1:130" s="185" customFormat="1" outlineLevel="2">
      <c r="A81" s="658"/>
      <c r="B81" s="57" t="str">
        <f t="shared" ref="B81:B121" si="13">LOOKUP(Race,$DW$1:$DZ$1,DW81:DZ81)</f>
        <v xml:space="preserve"> </v>
      </c>
      <c r="C81" s="57" t="str">
        <f t="shared" si="10"/>
        <v xml:space="preserve"> </v>
      </c>
      <c r="D81" s="57" t="str">
        <f t="shared" si="11"/>
        <v xml:space="preserve"> </v>
      </c>
      <c r="E81" s="84" t="str">
        <f t="shared" si="12"/>
        <v xml:space="preserve"> </v>
      </c>
      <c r="F81" s="650"/>
      <c r="G81" s="64" t="s">
        <v>97</v>
      </c>
      <c r="H81" s="140" t="s">
        <v>97</v>
      </c>
      <c r="I81" s="140" t="s">
        <v>97</v>
      </c>
      <c r="J81" s="140" t="s">
        <v>97</v>
      </c>
      <c r="K81" s="140" t="s">
        <v>97</v>
      </c>
      <c r="L81" s="140" t="s">
        <v>97</v>
      </c>
      <c r="M81" s="140" t="s">
        <v>97</v>
      </c>
      <c r="N81" s="140" t="s">
        <v>97</v>
      </c>
      <c r="O81" s="140" t="s">
        <v>97</v>
      </c>
      <c r="P81" s="140" t="s">
        <v>97</v>
      </c>
      <c r="Q81" s="140" t="s">
        <v>97</v>
      </c>
      <c r="R81" s="140" t="s">
        <v>97</v>
      </c>
      <c r="S81" s="140" t="s">
        <v>97</v>
      </c>
      <c r="T81" s="140" t="s">
        <v>97</v>
      </c>
      <c r="U81" s="140" t="s">
        <v>97</v>
      </c>
      <c r="V81" s="140" t="s">
        <v>97</v>
      </c>
      <c r="W81" s="140" t="s">
        <v>97</v>
      </c>
      <c r="X81" s="140" t="s">
        <v>97</v>
      </c>
      <c r="Y81" s="140" t="s">
        <v>97</v>
      </c>
      <c r="Z81" s="140" t="s">
        <v>97</v>
      </c>
      <c r="AA81" s="140" t="s">
        <v>97</v>
      </c>
      <c r="AB81" s="140" t="s">
        <v>97</v>
      </c>
      <c r="AC81" s="140" t="s">
        <v>97</v>
      </c>
      <c r="AD81" s="140" t="s">
        <v>97</v>
      </c>
      <c r="AE81" s="140" t="s">
        <v>97</v>
      </c>
      <c r="AF81" s="140" t="s">
        <v>97</v>
      </c>
      <c r="AG81" s="140" t="s">
        <v>97</v>
      </c>
      <c r="AH81" s="140" t="s">
        <v>97</v>
      </c>
      <c r="AI81" s="140" t="s">
        <v>97</v>
      </c>
      <c r="AJ81" s="140" t="s">
        <v>97</v>
      </c>
      <c r="AK81" s="140" t="s">
        <v>97</v>
      </c>
      <c r="AL81" s="140" t="s">
        <v>97</v>
      </c>
      <c r="AM81" s="140" t="s">
        <v>97</v>
      </c>
      <c r="AN81" s="140" t="s">
        <v>97</v>
      </c>
      <c r="AO81" s="140" t="s">
        <v>97</v>
      </c>
      <c r="AP81" s="140" t="s">
        <v>97</v>
      </c>
      <c r="AQ81" s="140" t="s">
        <v>97</v>
      </c>
      <c r="AR81" s="140" t="s">
        <v>97</v>
      </c>
      <c r="AS81" s="140" t="s">
        <v>97</v>
      </c>
      <c r="AT81" s="140" t="s">
        <v>97</v>
      </c>
      <c r="AU81" s="140" t="s">
        <v>97</v>
      </c>
      <c r="AV81" s="140" t="s">
        <v>97</v>
      </c>
      <c r="AW81" s="140" t="s">
        <v>97</v>
      </c>
      <c r="AX81" s="140" t="s">
        <v>97</v>
      </c>
      <c r="AY81" s="140" t="s">
        <v>97</v>
      </c>
      <c r="AZ81" s="140" t="s">
        <v>97</v>
      </c>
      <c r="BA81" s="140" t="s">
        <v>97</v>
      </c>
      <c r="BB81" s="140" t="s">
        <v>97</v>
      </c>
      <c r="BC81" s="140" t="s">
        <v>97</v>
      </c>
      <c r="BD81" s="140" t="s">
        <v>97</v>
      </c>
      <c r="BE81" s="140" t="s">
        <v>97</v>
      </c>
      <c r="BF81" s="140" t="s">
        <v>97</v>
      </c>
      <c r="BG81" s="140" t="s">
        <v>97</v>
      </c>
      <c r="BH81" s="140" t="s">
        <v>97</v>
      </c>
      <c r="BI81" s="140" t="s">
        <v>97</v>
      </c>
      <c r="BJ81" s="140" t="s">
        <v>97</v>
      </c>
      <c r="BK81" s="140" t="s">
        <v>97</v>
      </c>
      <c r="BL81" s="140" t="s">
        <v>97</v>
      </c>
      <c r="BM81" s="140" t="s">
        <v>97</v>
      </c>
      <c r="BN81" s="140" t="s">
        <v>97</v>
      </c>
      <c r="BO81" s="140" t="s">
        <v>97</v>
      </c>
      <c r="BP81" s="140" t="s">
        <v>97</v>
      </c>
      <c r="BQ81" s="140" t="s">
        <v>97</v>
      </c>
      <c r="BR81" s="140" t="s">
        <v>97</v>
      </c>
      <c r="BS81" s="140" t="s">
        <v>97</v>
      </c>
      <c r="BT81" s="140" t="s">
        <v>97</v>
      </c>
      <c r="BU81" s="140" t="s">
        <v>97</v>
      </c>
      <c r="BV81" s="140" t="s">
        <v>97</v>
      </c>
      <c r="BW81" s="140" t="s">
        <v>97</v>
      </c>
      <c r="BX81" s="140" t="s">
        <v>97</v>
      </c>
      <c r="BY81" s="140" t="s">
        <v>97</v>
      </c>
      <c r="BZ81" s="140" t="s">
        <v>97</v>
      </c>
      <c r="CA81" s="140" t="s">
        <v>97</v>
      </c>
      <c r="CB81" s="140" t="s">
        <v>97</v>
      </c>
      <c r="CC81" s="140" t="s">
        <v>97</v>
      </c>
      <c r="CD81" s="140" t="s">
        <v>97</v>
      </c>
      <c r="CE81" s="140" t="s">
        <v>97</v>
      </c>
      <c r="CF81" s="140" t="s">
        <v>97</v>
      </c>
      <c r="CG81" s="140" t="s">
        <v>97</v>
      </c>
      <c r="CH81" s="140" t="s">
        <v>97</v>
      </c>
      <c r="CI81" s="140" t="s">
        <v>97</v>
      </c>
      <c r="CJ81" s="140" t="s">
        <v>97</v>
      </c>
      <c r="CK81" s="140" t="s">
        <v>97</v>
      </c>
      <c r="CL81" s="140" t="s">
        <v>97</v>
      </c>
      <c r="CM81" s="140" t="s">
        <v>97</v>
      </c>
      <c r="CN81" s="140" t="s">
        <v>97</v>
      </c>
      <c r="CO81" s="140" t="s">
        <v>97</v>
      </c>
      <c r="CP81" s="140" t="s">
        <v>97</v>
      </c>
      <c r="CQ81" s="140" t="s">
        <v>97</v>
      </c>
      <c r="CR81" s="140" t="s">
        <v>97</v>
      </c>
      <c r="CS81" s="140" t="s">
        <v>97</v>
      </c>
      <c r="CT81" s="140" t="s">
        <v>97</v>
      </c>
      <c r="CU81" s="140" t="s">
        <v>97</v>
      </c>
      <c r="CV81" s="140" t="s">
        <v>97</v>
      </c>
      <c r="CW81" s="140" t="s">
        <v>97</v>
      </c>
      <c r="CX81" s="140" t="s">
        <v>97</v>
      </c>
      <c r="CY81" s="140" t="s">
        <v>97</v>
      </c>
      <c r="CZ81" s="140" t="s">
        <v>97</v>
      </c>
      <c r="DA81" s="140" t="s">
        <v>97</v>
      </c>
      <c r="DB81" s="140" t="s">
        <v>97</v>
      </c>
      <c r="DC81" s="140" t="s">
        <v>97</v>
      </c>
      <c r="DD81" s="140" t="s">
        <v>97</v>
      </c>
      <c r="DE81" s="113" t="s">
        <v>97</v>
      </c>
      <c r="DF81" s="113" t="s">
        <v>97</v>
      </c>
      <c r="DG81" s="113" t="s">
        <v>97</v>
      </c>
      <c r="DH81" s="113" t="s">
        <v>97</v>
      </c>
      <c r="DI81" s="113" t="s">
        <v>97</v>
      </c>
      <c r="DJ81" s="113" t="s">
        <v>97</v>
      </c>
      <c r="DK81" s="113" t="s">
        <v>97</v>
      </c>
      <c r="DL81" s="113" t="s">
        <v>97</v>
      </c>
      <c r="DM81" s="113" t="s">
        <v>97</v>
      </c>
      <c r="DN81" s="113" t="s">
        <v>97</v>
      </c>
      <c r="DO81" s="113" t="s">
        <v>97</v>
      </c>
      <c r="DP81" s="114" t="s">
        <v>97</v>
      </c>
      <c r="DW81" s="205" t="s">
        <v>97</v>
      </c>
      <c r="DX81" s="114" t="s">
        <v>97</v>
      </c>
      <c r="DY81" s="114" t="s">
        <v>97</v>
      </c>
      <c r="DZ81" s="114" t="s">
        <v>97</v>
      </c>
    </row>
    <row r="82" spans="1:130" s="185" customFormat="1" outlineLevel="2">
      <c r="A82" s="658"/>
      <c r="B82" s="57" t="str">
        <f t="shared" si="13"/>
        <v xml:space="preserve"> </v>
      </c>
      <c r="C82" s="57" t="str">
        <f t="shared" si="10"/>
        <v xml:space="preserve"> </v>
      </c>
      <c r="D82" s="57" t="str">
        <f t="shared" si="11"/>
        <v xml:space="preserve"> </v>
      </c>
      <c r="E82" s="84" t="str">
        <f t="shared" si="12"/>
        <v xml:space="preserve"> </v>
      </c>
      <c r="F82" s="650"/>
      <c r="G82" s="64" t="s">
        <v>97</v>
      </c>
      <c r="H82" s="140" t="s">
        <v>97</v>
      </c>
      <c r="I82" s="140" t="s">
        <v>97</v>
      </c>
      <c r="J82" s="140" t="s">
        <v>97</v>
      </c>
      <c r="K82" s="140" t="s">
        <v>97</v>
      </c>
      <c r="L82" s="140" t="s">
        <v>97</v>
      </c>
      <c r="M82" s="140" t="s">
        <v>97</v>
      </c>
      <c r="N82" s="140" t="s">
        <v>97</v>
      </c>
      <c r="O82" s="140" t="s">
        <v>97</v>
      </c>
      <c r="P82" s="140" t="s">
        <v>97</v>
      </c>
      <c r="Q82" s="140" t="s">
        <v>97</v>
      </c>
      <c r="R82" s="140" t="s">
        <v>97</v>
      </c>
      <c r="S82" s="140" t="s">
        <v>97</v>
      </c>
      <c r="T82" s="140" t="s">
        <v>97</v>
      </c>
      <c r="U82" s="140" t="s">
        <v>97</v>
      </c>
      <c r="V82" s="140" t="s">
        <v>97</v>
      </c>
      <c r="W82" s="140" t="s">
        <v>97</v>
      </c>
      <c r="X82" s="140" t="s">
        <v>97</v>
      </c>
      <c r="Y82" s="140" t="s">
        <v>97</v>
      </c>
      <c r="Z82" s="140" t="s">
        <v>97</v>
      </c>
      <c r="AA82" s="140" t="s">
        <v>97</v>
      </c>
      <c r="AB82" s="140" t="s">
        <v>97</v>
      </c>
      <c r="AC82" s="140" t="s">
        <v>97</v>
      </c>
      <c r="AD82" s="140" t="s">
        <v>97</v>
      </c>
      <c r="AE82" s="140" t="s">
        <v>97</v>
      </c>
      <c r="AF82" s="140" t="s">
        <v>97</v>
      </c>
      <c r="AG82" s="140" t="s">
        <v>97</v>
      </c>
      <c r="AH82" s="140" t="s">
        <v>97</v>
      </c>
      <c r="AI82" s="140" t="s">
        <v>97</v>
      </c>
      <c r="AJ82" s="140" t="s">
        <v>97</v>
      </c>
      <c r="AK82" s="140" t="s">
        <v>97</v>
      </c>
      <c r="AL82" s="140" t="s">
        <v>97</v>
      </c>
      <c r="AM82" s="140" t="s">
        <v>97</v>
      </c>
      <c r="AN82" s="140" t="s">
        <v>97</v>
      </c>
      <c r="AO82" s="140" t="s">
        <v>97</v>
      </c>
      <c r="AP82" s="140" t="s">
        <v>97</v>
      </c>
      <c r="AQ82" s="140" t="s">
        <v>97</v>
      </c>
      <c r="AR82" s="140" t="s">
        <v>97</v>
      </c>
      <c r="AS82" s="140" t="s">
        <v>97</v>
      </c>
      <c r="AT82" s="140" t="s">
        <v>97</v>
      </c>
      <c r="AU82" s="140" t="s">
        <v>97</v>
      </c>
      <c r="AV82" s="140" t="s">
        <v>97</v>
      </c>
      <c r="AW82" s="140" t="s">
        <v>97</v>
      </c>
      <c r="AX82" s="140" t="s">
        <v>97</v>
      </c>
      <c r="AY82" s="140" t="s">
        <v>97</v>
      </c>
      <c r="AZ82" s="140" t="s">
        <v>97</v>
      </c>
      <c r="BA82" s="140" t="s">
        <v>97</v>
      </c>
      <c r="BB82" s="140" t="s">
        <v>97</v>
      </c>
      <c r="BC82" s="140" t="s">
        <v>97</v>
      </c>
      <c r="BD82" s="140" t="s">
        <v>97</v>
      </c>
      <c r="BE82" s="140" t="s">
        <v>97</v>
      </c>
      <c r="BF82" s="140" t="s">
        <v>97</v>
      </c>
      <c r="BG82" s="140" t="s">
        <v>97</v>
      </c>
      <c r="BH82" s="140" t="s">
        <v>97</v>
      </c>
      <c r="BI82" s="140" t="s">
        <v>97</v>
      </c>
      <c r="BJ82" s="140" t="s">
        <v>97</v>
      </c>
      <c r="BK82" s="140" t="s">
        <v>97</v>
      </c>
      <c r="BL82" s="140" t="s">
        <v>97</v>
      </c>
      <c r="BM82" s="140" t="s">
        <v>97</v>
      </c>
      <c r="BN82" s="140" t="s">
        <v>97</v>
      </c>
      <c r="BO82" s="140" t="s">
        <v>97</v>
      </c>
      <c r="BP82" s="140" t="s">
        <v>97</v>
      </c>
      <c r="BQ82" s="140" t="s">
        <v>97</v>
      </c>
      <c r="BR82" s="140" t="s">
        <v>97</v>
      </c>
      <c r="BS82" s="140" t="s">
        <v>97</v>
      </c>
      <c r="BT82" s="140" t="s">
        <v>97</v>
      </c>
      <c r="BU82" s="140" t="s">
        <v>97</v>
      </c>
      <c r="BV82" s="140" t="s">
        <v>97</v>
      </c>
      <c r="BW82" s="140" t="s">
        <v>97</v>
      </c>
      <c r="BX82" s="140" t="s">
        <v>97</v>
      </c>
      <c r="BY82" s="140" t="s">
        <v>97</v>
      </c>
      <c r="BZ82" s="140" t="s">
        <v>97</v>
      </c>
      <c r="CA82" s="140" t="s">
        <v>97</v>
      </c>
      <c r="CB82" s="140" t="s">
        <v>97</v>
      </c>
      <c r="CC82" s="140" t="s">
        <v>97</v>
      </c>
      <c r="CD82" s="140" t="s">
        <v>97</v>
      </c>
      <c r="CE82" s="140" t="s">
        <v>97</v>
      </c>
      <c r="CF82" s="140" t="s">
        <v>97</v>
      </c>
      <c r="CG82" s="140" t="s">
        <v>97</v>
      </c>
      <c r="CH82" s="140" t="s">
        <v>97</v>
      </c>
      <c r="CI82" s="140" t="s">
        <v>97</v>
      </c>
      <c r="CJ82" s="140" t="s">
        <v>97</v>
      </c>
      <c r="CK82" s="140" t="s">
        <v>97</v>
      </c>
      <c r="CL82" s="140" t="s">
        <v>97</v>
      </c>
      <c r="CM82" s="140" t="s">
        <v>97</v>
      </c>
      <c r="CN82" s="140" t="s">
        <v>97</v>
      </c>
      <c r="CO82" s="140" t="s">
        <v>97</v>
      </c>
      <c r="CP82" s="140" t="s">
        <v>97</v>
      </c>
      <c r="CQ82" s="140" t="s">
        <v>97</v>
      </c>
      <c r="CR82" s="140" t="s">
        <v>97</v>
      </c>
      <c r="CS82" s="140" t="s">
        <v>97</v>
      </c>
      <c r="CT82" s="140" t="s">
        <v>97</v>
      </c>
      <c r="CU82" s="140" t="s">
        <v>97</v>
      </c>
      <c r="CV82" s="140" t="s">
        <v>97</v>
      </c>
      <c r="CW82" s="140" t="s">
        <v>97</v>
      </c>
      <c r="CX82" s="140" t="s">
        <v>97</v>
      </c>
      <c r="CY82" s="140" t="s">
        <v>97</v>
      </c>
      <c r="CZ82" s="140" t="s">
        <v>97</v>
      </c>
      <c r="DA82" s="140" t="s">
        <v>97</v>
      </c>
      <c r="DB82" s="140" t="s">
        <v>97</v>
      </c>
      <c r="DC82" s="140" t="s">
        <v>97</v>
      </c>
      <c r="DD82" s="140" t="s">
        <v>97</v>
      </c>
      <c r="DE82" s="113" t="s">
        <v>97</v>
      </c>
      <c r="DF82" s="113" t="s">
        <v>97</v>
      </c>
      <c r="DG82" s="113" t="s">
        <v>97</v>
      </c>
      <c r="DH82" s="113" t="s">
        <v>97</v>
      </c>
      <c r="DI82" s="113" t="s">
        <v>97</v>
      </c>
      <c r="DJ82" s="113" t="s">
        <v>97</v>
      </c>
      <c r="DK82" s="113" t="s">
        <v>97</v>
      </c>
      <c r="DL82" s="113" t="s">
        <v>97</v>
      </c>
      <c r="DM82" s="113" t="s">
        <v>97</v>
      </c>
      <c r="DN82" s="113" t="s">
        <v>97</v>
      </c>
      <c r="DO82" s="113" t="s">
        <v>97</v>
      </c>
      <c r="DP82" s="114" t="s">
        <v>97</v>
      </c>
      <c r="DW82" s="205" t="s">
        <v>97</v>
      </c>
      <c r="DX82" s="114" t="s">
        <v>97</v>
      </c>
      <c r="DY82" s="114" t="s">
        <v>97</v>
      </c>
      <c r="DZ82" s="114" t="s">
        <v>97</v>
      </c>
    </row>
    <row r="83" spans="1:130" s="185" customFormat="1" outlineLevel="2">
      <c r="A83" s="658"/>
      <c r="B83" s="57" t="str">
        <f t="shared" si="13"/>
        <v xml:space="preserve"> </v>
      </c>
      <c r="C83" s="57" t="str">
        <f t="shared" si="10"/>
        <v xml:space="preserve"> </v>
      </c>
      <c r="D83" s="57" t="str">
        <f t="shared" si="11"/>
        <v xml:space="preserve"> </v>
      </c>
      <c r="E83" s="84" t="str">
        <f t="shared" si="12"/>
        <v xml:space="preserve"> </v>
      </c>
      <c r="F83" s="650"/>
      <c r="G83" s="64" t="s">
        <v>97</v>
      </c>
      <c r="H83" s="140" t="s">
        <v>97</v>
      </c>
      <c r="I83" s="140" t="s">
        <v>97</v>
      </c>
      <c r="J83" s="140" t="s">
        <v>97</v>
      </c>
      <c r="K83" s="140" t="s">
        <v>97</v>
      </c>
      <c r="L83" s="140" t="s">
        <v>97</v>
      </c>
      <c r="M83" s="140" t="s">
        <v>97</v>
      </c>
      <c r="N83" s="140" t="s">
        <v>97</v>
      </c>
      <c r="O83" s="140" t="s">
        <v>97</v>
      </c>
      <c r="P83" s="140" t="s">
        <v>97</v>
      </c>
      <c r="Q83" s="140" t="s">
        <v>97</v>
      </c>
      <c r="R83" s="140" t="s">
        <v>97</v>
      </c>
      <c r="S83" s="140" t="s">
        <v>97</v>
      </c>
      <c r="T83" s="140" t="s">
        <v>97</v>
      </c>
      <c r="U83" s="140" t="s">
        <v>97</v>
      </c>
      <c r="V83" s="140" t="s">
        <v>97</v>
      </c>
      <c r="W83" s="140" t="s">
        <v>97</v>
      </c>
      <c r="X83" s="140" t="s">
        <v>97</v>
      </c>
      <c r="Y83" s="140" t="s">
        <v>97</v>
      </c>
      <c r="Z83" s="140" t="s">
        <v>97</v>
      </c>
      <c r="AA83" s="140" t="s">
        <v>97</v>
      </c>
      <c r="AB83" s="140" t="s">
        <v>97</v>
      </c>
      <c r="AC83" s="140" t="s">
        <v>97</v>
      </c>
      <c r="AD83" s="140" t="s">
        <v>97</v>
      </c>
      <c r="AE83" s="140" t="s">
        <v>97</v>
      </c>
      <c r="AF83" s="140" t="s">
        <v>97</v>
      </c>
      <c r="AG83" s="140" t="s">
        <v>97</v>
      </c>
      <c r="AH83" s="140" t="s">
        <v>97</v>
      </c>
      <c r="AI83" s="140" t="s">
        <v>97</v>
      </c>
      <c r="AJ83" s="140" t="s">
        <v>97</v>
      </c>
      <c r="AK83" s="140" t="s">
        <v>97</v>
      </c>
      <c r="AL83" s="140" t="s">
        <v>97</v>
      </c>
      <c r="AM83" s="140" t="s">
        <v>97</v>
      </c>
      <c r="AN83" s="140" t="s">
        <v>97</v>
      </c>
      <c r="AO83" s="140" t="s">
        <v>97</v>
      </c>
      <c r="AP83" s="140" t="s">
        <v>97</v>
      </c>
      <c r="AQ83" s="140" t="s">
        <v>97</v>
      </c>
      <c r="AR83" s="140" t="s">
        <v>97</v>
      </c>
      <c r="AS83" s="140" t="s">
        <v>97</v>
      </c>
      <c r="AT83" s="140" t="s">
        <v>97</v>
      </c>
      <c r="AU83" s="140" t="s">
        <v>97</v>
      </c>
      <c r="AV83" s="140" t="s">
        <v>97</v>
      </c>
      <c r="AW83" s="140" t="s">
        <v>97</v>
      </c>
      <c r="AX83" s="140" t="s">
        <v>97</v>
      </c>
      <c r="AY83" s="140" t="s">
        <v>97</v>
      </c>
      <c r="AZ83" s="140" t="s">
        <v>97</v>
      </c>
      <c r="BA83" s="140" t="s">
        <v>97</v>
      </c>
      <c r="BB83" s="140" t="s">
        <v>97</v>
      </c>
      <c r="BC83" s="140" t="s">
        <v>97</v>
      </c>
      <c r="BD83" s="140" t="s">
        <v>97</v>
      </c>
      <c r="BE83" s="140" t="s">
        <v>97</v>
      </c>
      <c r="BF83" s="140" t="s">
        <v>97</v>
      </c>
      <c r="BG83" s="140" t="s">
        <v>97</v>
      </c>
      <c r="BH83" s="140" t="s">
        <v>97</v>
      </c>
      <c r="BI83" s="140" t="s">
        <v>97</v>
      </c>
      <c r="BJ83" s="140" t="s">
        <v>97</v>
      </c>
      <c r="BK83" s="140" t="s">
        <v>97</v>
      </c>
      <c r="BL83" s="140" t="s">
        <v>97</v>
      </c>
      <c r="BM83" s="140" t="s">
        <v>97</v>
      </c>
      <c r="BN83" s="140" t="s">
        <v>97</v>
      </c>
      <c r="BO83" s="140" t="s">
        <v>97</v>
      </c>
      <c r="BP83" s="140" t="s">
        <v>97</v>
      </c>
      <c r="BQ83" s="140" t="s">
        <v>97</v>
      </c>
      <c r="BR83" s="140" t="s">
        <v>97</v>
      </c>
      <c r="BS83" s="140" t="s">
        <v>97</v>
      </c>
      <c r="BT83" s="140" t="s">
        <v>97</v>
      </c>
      <c r="BU83" s="140" t="s">
        <v>97</v>
      </c>
      <c r="BV83" s="140" t="s">
        <v>97</v>
      </c>
      <c r="BW83" s="140" t="s">
        <v>97</v>
      </c>
      <c r="BX83" s="140" t="s">
        <v>97</v>
      </c>
      <c r="BY83" s="140" t="s">
        <v>97</v>
      </c>
      <c r="BZ83" s="140" t="s">
        <v>97</v>
      </c>
      <c r="CA83" s="140" t="s">
        <v>97</v>
      </c>
      <c r="CB83" s="140" t="s">
        <v>97</v>
      </c>
      <c r="CC83" s="140" t="s">
        <v>97</v>
      </c>
      <c r="CD83" s="140" t="s">
        <v>97</v>
      </c>
      <c r="CE83" s="140" t="s">
        <v>97</v>
      </c>
      <c r="CF83" s="140" t="s">
        <v>97</v>
      </c>
      <c r="CG83" s="140" t="s">
        <v>97</v>
      </c>
      <c r="CH83" s="140" t="s">
        <v>97</v>
      </c>
      <c r="CI83" s="140" t="s">
        <v>97</v>
      </c>
      <c r="CJ83" s="140" t="s">
        <v>97</v>
      </c>
      <c r="CK83" s="140" t="s">
        <v>97</v>
      </c>
      <c r="CL83" s="140" t="s">
        <v>97</v>
      </c>
      <c r="CM83" s="140" t="s">
        <v>97</v>
      </c>
      <c r="CN83" s="140" t="s">
        <v>97</v>
      </c>
      <c r="CO83" s="140" t="s">
        <v>97</v>
      </c>
      <c r="CP83" s="140" t="s">
        <v>97</v>
      </c>
      <c r="CQ83" s="140" t="s">
        <v>97</v>
      </c>
      <c r="CR83" s="140" t="s">
        <v>97</v>
      </c>
      <c r="CS83" s="140" t="s">
        <v>97</v>
      </c>
      <c r="CT83" s="140" t="s">
        <v>97</v>
      </c>
      <c r="CU83" s="140" t="s">
        <v>97</v>
      </c>
      <c r="CV83" s="140" t="s">
        <v>97</v>
      </c>
      <c r="CW83" s="140" t="s">
        <v>97</v>
      </c>
      <c r="CX83" s="140" t="s">
        <v>97</v>
      </c>
      <c r="CY83" s="140" t="s">
        <v>97</v>
      </c>
      <c r="CZ83" s="140" t="s">
        <v>97</v>
      </c>
      <c r="DA83" s="140" t="s">
        <v>97</v>
      </c>
      <c r="DB83" s="140" t="s">
        <v>97</v>
      </c>
      <c r="DC83" s="140" t="s">
        <v>97</v>
      </c>
      <c r="DD83" s="140" t="s">
        <v>97</v>
      </c>
      <c r="DE83" s="113" t="s">
        <v>97</v>
      </c>
      <c r="DF83" s="113" t="s">
        <v>97</v>
      </c>
      <c r="DG83" s="113" t="s">
        <v>97</v>
      </c>
      <c r="DH83" s="113" t="s">
        <v>97</v>
      </c>
      <c r="DI83" s="113" t="s">
        <v>97</v>
      </c>
      <c r="DJ83" s="113" t="s">
        <v>97</v>
      </c>
      <c r="DK83" s="113" t="s">
        <v>97</v>
      </c>
      <c r="DL83" s="113" t="s">
        <v>97</v>
      </c>
      <c r="DM83" s="113" t="s">
        <v>97</v>
      </c>
      <c r="DN83" s="113" t="s">
        <v>97</v>
      </c>
      <c r="DO83" s="113" t="s">
        <v>97</v>
      </c>
      <c r="DP83" s="114" t="s">
        <v>97</v>
      </c>
      <c r="DW83" s="205" t="s">
        <v>97</v>
      </c>
      <c r="DX83" s="114" t="s">
        <v>97</v>
      </c>
      <c r="DY83" s="114" t="s">
        <v>97</v>
      </c>
      <c r="DZ83" s="114" t="s">
        <v>97</v>
      </c>
    </row>
    <row r="84" spans="1:130" s="185" customFormat="1" outlineLevel="2">
      <c r="A84" s="658"/>
      <c r="B84" s="57" t="str">
        <f t="shared" si="13"/>
        <v xml:space="preserve"> </v>
      </c>
      <c r="C84" s="57" t="str">
        <f t="shared" si="10"/>
        <v xml:space="preserve"> </v>
      </c>
      <c r="D84" s="57" t="str">
        <f t="shared" si="11"/>
        <v xml:space="preserve"> </v>
      </c>
      <c r="E84" s="84" t="str">
        <f t="shared" si="12"/>
        <v xml:space="preserve"> </v>
      </c>
      <c r="F84" s="650"/>
      <c r="G84" s="64" t="s">
        <v>97</v>
      </c>
      <c r="H84" s="140" t="s">
        <v>97</v>
      </c>
      <c r="I84" s="140" t="s">
        <v>97</v>
      </c>
      <c r="J84" s="140" t="s">
        <v>97</v>
      </c>
      <c r="K84" s="140" t="s">
        <v>97</v>
      </c>
      <c r="L84" s="140" t="s">
        <v>97</v>
      </c>
      <c r="M84" s="140" t="s">
        <v>97</v>
      </c>
      <c r="N84" s="140" t="s">
        <v>97</v>
      </c>
      <c r="O84" s="140" t="s">
        <v>97</v>
      </c>
      <c r="P84" s="140" t="s">
        <v>97</v>
      </c>
      <c r="Q84" s="140" t="s">
        <v>97</v>
      </c>
      <c r="R84" s="140" t="s">
        <v>97</v>
      </c>
      <c r="S84" s="140" t="s">
        <v>97</v>
      </c>
      <c r="T84" s="140" t="s">
        <v>97</v>
      </c>
      <c r="U84" s="140" t="s">
        <v>97</v>
      </c>
      <c r="V84" s="140" t="s">
        <v>97</v>
      </c>
      <c r="W84" s="140" t="s">
        <v>97</v>
      </c>
      <c r="X84" s="140" t="s">
        <v>97</v>
      </c>
      <c r="Y84" s="140" t="s">
        <v>97</v>
      </c>
      <c r="Z84" s="140" t="s">
        <v>97</v>
      </c>
      <c r="AA84" s="140" t="s">
        <v>97</v>
      </c>
      <c r="AB84" s="140" t="s">
        <v>97</v>
      </c>
      <c r="AC84" s="140" t="s">
        <v>97</v>
      </c>
      <c r="AD84" s="140" t="s">
        <v>97</v>
      </c>
      <c r="AE84" s="140" t="s">
        <v>97</v>
      </c>
      <c r="AF84" s="140" t="s">
        <v>97</v>
      </c>
      <c r="AG84" s="140" t="s">
        <v>97</v>
      </c>
      <c r="AH84" s="140" t="s">
        <v>97</v>
      </c>
      <c r="AI84" s="140" t="s">
        <v>97</v>
      </c>
      <c r="AJ84" s="140" t="s">
        <v>97</v>
      </c>
      <c r="AK84" s="140" t="s">
        <v>97</v>
      </c>
      <c r="AL84" s="140" t="s">
        <v>97</v>
      </c>
      <c r="AM84" s="140" t="s">
        <v>97</v>
      </c>
      <c r="AN84" s="140" t="s">
        <v>97</v>
      </c>
      <c r="AO84" s="140" t="s">
        <v>97</v>
      </c>
      <c r="AP84" s="140" t="s">
        <v>97</v>
      </c>
      <c r="AQ84" s="140" t="s">
        <v>97</v>
      </c>
      <c r="AR84" s="140" t="s">
        <v>97</v>
      </c>
      <c r="AS84" s="140" t="s">
        <v>97</v>
      </c>
      <c r="AT84" s="140" t="s">
        <v>97</v>
      </c>
      <c r="AU84" s="140" t="s">
        <v>97</v>
      </c>
      <c r="AV84" s="140" t="s">
        <v>97</v>
      </c>
      <c r="AW84" s="140" t="s">
        <v>97</v>
      </c>
      <c r="AX84" s="140" t="s">
        <v>97</v>
      </c>
      <c r="AY84" s="140" t="s">
        <v>97</v>
      </c>
      <c r="AZ84" s="140" t="s">
        <v>97</v>
      </c>
      <c r="BA84" s="140" t="s">
        <v>97</v>
      </c>
      <c r="BB84" s="140" t="s">
        <v>97</v>
      </c>
      <c r="BC84" s="140" t="s">
        <v>97</v>
      </c>
      <c r="BD84" s="140" t="s">
        <v>97</v>
      </c>
      <c r="BE84" s="140" t="s">
        <v>97</v>
      </c>
      <c r="BF84" s="140" t="s">
        <v>97</v>
      </c>
      <c r="BG84" s="140" t="s">
        <v>97</v>
      </c>
      <c r="BH84" s="140" t="s">
        <v>97</v>
      </c>
      <c r="BI84" s="140" t="s">
        <v>97</v>
      </c>
      <c r="BJ84" s="140" t="s">
        <v>97</v>
      </c>
      <c r="BK84" s="140" t="s">
        <v>97</v>
      </c>
      <c r="BL84" s="140" t="s">
        <v>97</v>
      </c>
      <c r="BM84" s="140" t="s">
        <v>97</v>
      </c>
      <c r="BN84" s="140" t="s">
        <v>97</v>
      </c>
      <c r="BO84" s="140" t="s">
        <v>97</v>
      </c>
      <c r="BP84" s="140" t="s">
        <v>97</v>
      </c>
      <c r="BQ84" s="140" t="s">
        <v>97</v>
      </c>
      <c r="BR84" s="140" t="s">
        <v>97</v>
      </c>
      <c r="BS84" s="140" t="s">
        <v>97</v>
      </c>
      <c r="BT84" s="140" t="s">
        <v>97</v>
      </c>
      <c r="BU84" s="140" t="s">
        <v>97</v>
      </c>
      <c r="BV84" s="140" t="s">
        <v>97</v>
      </c>
      <c r="BW84" s="140" t="s">
        <v>97</v>
      </c>
      <c r="BX84" s="140" t="s">
        <v>97</v>
      </c>
      <c r="BY84" s="140" t="s">
        <v>97</v>
      </c>
      <c r="BZ84" s="140" t="s">
        <v>97</v>
      </c>
      <c r="CA84" s="140" t="s">
        <v>97</v>
      </c>
      <c r="CB84" s="140" t="s">
        <v>97</v>
      </c>
      <c r="CC84" s="140" t="s">
        <v>97</v>
      </c>
      <c r="CD84" s="140" t="s">
        <v>97</v>
      </c>
      <c r="CE84" s="140" t="s">
        <v>97</v>
      </c>
      <c r="CF84" s="140" t="s">
        <v>97</v>
      </c>
      <c r="CG84" s="140" t="s">
        <v>97</v>
      </c>
      <c r="CH84" s="140" t="s">
        <v>97</v>
      </c>
      <c r="CI84" s="140" t="s">
        <v>97</v>
      </c>
      <c r="CJ84" s="140" t="s">
        <v>97</v>
      </c>
      <c r="CK84" s="140" t="s">
        <v>97</v>
      </c>
      <c r="CL84" s="140" t="s">
        <v>97</v>
      </c>
      <c r="CM84" s="140" t="s">
        <v>97</v>
      </c>
      <c r="CN84" s="140" t="s">
        <v>97</v>
      </c>
      <c r="CO84" s="140" t="s">
        <v>97</v>
      </c>
      <c r="CP84" s="140" t="s">
        <v>97</v>
      </c>
      <c r="CQ84" s="140" t="s">
        <v>97</v>
      </c>
      <c r="CR84" s="140" t="s">
        <v>97</v>
      </c>
      <c r="CS84" s="140" t="s">
        <v>97</v>
      </c>
      <c r="CT84" s="140" t="s">
        <v>97</v>
      </c>
      <c r="CU84" s="140" t="s">
        <v>97</v>
      </c>
      <c r="CV84" s="140" t="s">
        <v>97</v>
      </c>
      <c r="CW84" s="140" t="s">
        <v>97</v>
      </c>
      <c r="CX84" s="140" t="s">
        <v>97</v>
      </c>
      <c r="CY84" s="140" t="s">
        <v>97</v>
      </c>
      <c r="CZ84" s="140" t="s">
        <v>97</v>
      </c>
      <c r="DA84" s="140" t="s">
        <v>97</v>
      </c>
      <c r="DB84" s="140" t="s">
        <v>97</v>
      </c>
      <c r="DC84" s="140" t="s">
        <v>97</v>
      </c>
      <c r="DD84" s="140" t="s">
        <v>97</v>
      </c>
      <c r="DE84" s="113" t="s">
        <v>97</v>
      </c>
      <c r="DF84" s="113" t="s">
        <v>97</v>
      </c>
      <c r="DG84" s="113" t="s">
        <v>97</v>
      </c>
      <c r="DH84" s="113" t="s">
        <v>97</v>
      </c>
      <c r="DI84" s="113" t="s">
        <v>97</v>
      </c>
      <c r="DJ84" s="113" t="s">
        <v>97</v>
      </c>
      <c r="DK84" s="113" t="s">
        <v>97</v>
      </c>
      <c r="DL84" s="113" t="s">
        <v>97</v>
      </c>
      <c r="DM84" s="113" t="s">
        <v>97</v>
      </c>
      <c r="DN84" s="113" t="s">
        <v>97</v>
      </c>
      <c r="DO84" s="113" t="s">
        <v>97</v>
      </c>
      <c r="DP84" s="114" t="s">
        <v>97</v>
      </c>
      <c r="DW84" s="205" t="s">
        <v>97</v>
      </c>
      <c r="DX84" s="114" t="s">
        <v>97</v>
      </c>
      <c r="DY84" s="114" t="s">
        <v>97</v>
      </c>
      <c r="DZ84" s="114" t="s">
        <v>97</v>
      </c>
    </row>
    <row r="85" spans="1:130" s="185" customFormat="1" outlineLevel="2">
      <c r="A85" s="658"/>
      <c r="B85" s="57" t="str">
        <f t="shared" si="13"/>
        <v xml:space="preserve"> </v>
      </c>
      <c r="C85" s="57" t="str">
        <f t="shared" si="10"/>
        <v xml:space="preserve"> </v>
      </c>
      <c r="D85" s="57" t="str">
        <f t="shared" si="11"/>
        <v xml:space="preserve"> </v>
      </c>
      <c r="E85" s="84" t="str">
        <f t="shared" si="12"/>
        <v xml:space="preserve"> </v>
      </c>
      <c r="F85" s="650"/>
      <c r="G85" s="64" t="s">
        <v>97</v>
      </c>
      <c r="H85" s="140" t="s">
        <v>97</v>
      </c>
      <c r="I85" s="140" t="s">
        <v>97</v>
      </c>
      <c r="J85" s="140" t="s">
        <v>97</v>
      </c>
      <c r="K85" s="140" t="s">
        <v>97</v>
      </c>
      <c r="L85" s="140" t="s">
        <v>97</v>
      </c>
      <c r="M85" s="140" t="s">
        <v>97</v>
      </c>
      <c r="N85" s="140" t="s">
        <v>97</v>
      </c>
      <c r="O85" s="140" t="s">
        <v>97</v>
      </c>
      <c r="P85" s="140" t="s">
        <v>97</v>
      </c>
      <c r="Q85" s="140" t="s">
        <v>97</v>
      </c>
      <c r="R85" s="140" t="s">
        <v>97</v>
      </c>
      <c r="S85" s="140" t="s">
        <v>97</v>
      </c>
      <c r="T85" s="140" t="s">
        <v>97</v>
      </c>
      <c r="U85" s="140" t="s">
        <v>97</v>
      </c>
      <c r="V85" s="140" t="s">
        <v>97</v>
      </c>
      <c r="W85" s="140" t="s">
        <v>97</v>
      </c>
      <c r="X85" s="140" t="s">
        <v>97</v>
      </c>
      <c r="Y85" s="140" t="s">
        <v>97</v>
      </c>
      <c r="Z85" s="140" t="s">
        <v>97</v>
      </c>
      <c r="AA85" s="140" t="s">
        <v>97</v>
      </c>
      <c r="AB85" s="140" t="s">
        <v>97</v>
      </c>
      <c r="AC85" s="140" t="s">
        <v>97</v>
      </c>
      <c r="AD85" s="140" t="s">
        <v>97</v>
      </c>
      <c r="AE85" s="140" t="s">
        <v>97</v>
      </c>
      <c r="AF85" s="140" t="s">
        <v>97</v>
      </c>
      <c r="AG85" s="140" t="s">
        <v>97</v>
      </c>
      <c r="AH85" s="140" t="s">
        <v>97</v>
      </c>
      <c r="AI85" s="140" t="s">
        <v>97</v>
      </c>
      <c r="AJ85" s="140" t="s">
        <v>97</v>
      </c>
      <c r="AK85" s="140" t="s">
        <v>97</v>
      </c>
      <c r="AL85" s="140" t="s">
        <v>97</v>
      </c>
      <c r="AM85" s="140" t="s">
        <v>97</v>
      </c>
      <c r="AN85" s="140" t="s">
        <v>97</v>
      </c>
      <c r="AO85" s="140" t="s">
        <v>97</v>
      </c>
      <c r="AP85" s="140" t="s">
        <v>97</v>
      </c>
      <c r="AQ85" s="140" t="s">
        <v>97</v>
      </c>
      <c r="AR85" s="140" t="s">
        <v>97</v>
      </c>
      <c r="AS85" s="140" t="s">
        <v>97</v>
      </c>
      <c r="AT85" s="140" t="s">
        <v>97</v>
      </c>
      <c r="AU85" s="140" t="s">
        <v>97</v>
      </c>
      <c r="AV85" s="140" t="s">
        <v>97</v>
      </c>
      <c r="AW85" s="140" t="s">
        <v>97</v>
      </c>
      <c r="AX85" s="140" t="s">
        <v>97</v>
      </c>
      <c r="AY85" s="140" t="s">
        <v>97</v>
      </c>
      <c r="AZ85" s="140" t="s">
        <v>97</v>
      </c>
      <c r="BA85" s="140" t="s">
        <v>97</v>
      </c>
      <c r="BB85" s="140" t="s">
        <v>97</v>
      </c>
      <c r="BC85" s="140" t="s">
        <v>97</v>
      </c>
      <c r="BD85" s="140" t="s">
        <v>97</v>
      </c>
      <c r="BE85" s="140" t="s">
        <v>97</v>
      </c>
      <c r="BF85" s="140" t="s">
        <v>97</v>
      </c>
      <c r="BG85" s="140" t="s">
        <v>97</v>
      </c>
      <c r="BH85" s="140" t="s">
        <v>97</v>
      </c>
      <c r="BI85" s="140" t="s">
        <v>97</v>
      </c>
      <c r="BJ85" s="140" t="s">
        <v>97</v>
      </c>
      <c r="BK85" s="140" t="s">
        <v>97</v>
      </c>
      <c r="BL85" s="140" t="s">
        <v>97</v>
      </c>
      <c r="BM85" s="140" t="s">
        <v>97</v>
      </c>
      <c r="BN85" s="140" t="s">
        <v>97</v>
      </c>
      <c r="BO85" s="140" t="s">
        <v>97</v>
      </c>
      <c r="BP85" s="140" t="s">
        <v>97</v>
      </c>
      <c r="BQ85" s="140" t="s">
        <v>97</v>
      </c>
      <c r="BR85" s="140" t="s">
        <v>97</v>
      </c>
      <c r="BS85" s="140" t="s">
        <v>97</v>
      </c>
      <c r="BT85" s="140" t="s">
        <v>97</v>
      </c>
      <c r="BU85" s="140" t="s">
        <v>97</v>
      </c>
      <c r="BV85" s="140" t="s">
        <v>97</v>
      </c>
      <c r="BW85" s="140" t="s">
        <v>97</v>
      </c>
      <c r="BX85" s="140" t="s">
        <v>97</v>
      </c>
      <c r="BY85" s="140" t="s">
        <v>97</v>
      </c>
      <c r="BZ85" s="140" t="s">
        <v>97</v>
      </c>
      <c r="CA85" s="140" t="s">
        <v>97</v>
      </c>
      <c r="CB85" s="140" t="s">
        <v>97</v>
      </c>
      <c r="CC85" s="140" t="s">
        <v>97</v>
      </c>
      <c r="CD85" s="140" t="s">
        <v>97</v>
      </c>
      <c r="CE85" s="140" t="s">
        <v>97</v>
      </c>
      <c r="CF85" s="140" t="s">
        <v>97</v>
      </c>
      <c r="CG85" s="140" t="s">
        <v>97</v>
      </c>
      <c r="CH85" s="140" t="s">
        <v>97</v>
      </c>
      <c r="CI85" s="140" t="s">
        <v>97</v>
      </c>
      <c r="CJ85" s="140" t="s">
        <v>97</v>
      </c>
      <c r="CK85" s="140" t="s">
        <v>97</v>
      </c>
      <c r="CL85" s="140" t="s">
        <v>97</v>
      </c>
      <c r="CM85" s="140" t="s">
        <v>97</v>
      </c>
      <c r="CN85" s="140" t="s">
        <v>97</v>
      </c>
      <c r="CO85" s="140" t="s">
        <v>97</v>
      </c>
      <c r="CP85" s="140" t="s">
        <v>97</v>
      </c>
      <c r="CQ85" s="140" t="s">
        <v>97</v>
      </c>
      <c r="CR85" s="140" t="s">
        <v>97</v>
      </c>
      <c r="CS85" s="140" t="s">
        <v>97</v>
      </c>
      <c r="CT85" s="140" t="s">
        <v>97</v>
      </c>
      <c r="CU85" s="140" t="s">
        <v>97</v>
      </c>
      <c r="CV85" s="140" t="s">
        <v>97</v>
      </c>
      <c r="CW85" s="140" t="s">
        <v>97</v>
      </c>
      <c r="CX85" s="140" t="s">
        <v>97</v>
      </c>
      <c r="CY85" s="140" t="s">
        <v>97</v>
      </c>
      <c r="CZ85" s="140" t="s">
        <v>97</v>
      </c>
      <c r="DA85" s="140" t="s">
        <v>97</v>
      </c>
      <c r="DB85" s="140" t="s">
        <v>97</v>
      </c>
      <c r="DC85" s="140" t="s">
        <v>97</v>
      </c>
      <c r="DD85" s="140" t="s">
        <v>97</v>
      </c>
      <c r="DE85" s="113" t="s">
        <v>97</v>
      </c>
      <c r="DF85" s="113" t="s">
        <v>97</v>
      </c>
      <c r="DG85" s="113" t="s">
        <v>97</v>
      </c>
      <c r="DH85" s="113" t="s">
        <v>97</v>
      </c>
      <c r="DI85" s="113" t="s">
        <v>97</v>
      </c>
      <c r="DJ85" s="113" t="s">
        <v>97</v>
      </c>
      <c r="DK85" s="113" t="s">
        <v>97</v>
      </c>
      <c r="DL85" s="113" t="s">
        <v>97</v>
      </c>
      <c r="DM85" s="113" t="s">
        <v>97</v>
      </c>
      <c r="DN85" s="113" t="s">
        <v>97</v>
      </c>
      <c r="DO85" s="113" t="s">
        <v>97</v>
      </c>
      <c r="DP85" s="114" t="s">
        <v>97</v>
      </c>
      <c r="DW85" s="205" t="s">
        <v>97</v>
      </c>
      <c r="DX85" s="114" t="s">
        <v>97</v>
      </c>
      <c r="DY85" s="114" t="s">
        <v>97</v>
      </c>
      <c r="DZ85" s="114" t="s">
        <v>97</v>
      </c>
    </row>
    <row r="86" spans="1:130" s="185" customFormat="1" outlineLevel="2">
      <c r="A86" s="658"/>
      <c r="B86" s="57" t="str">
        <f t="shared" si="13"/>
        <v xml:space="preserve"> </v>
      </c>
      <c r="C86" s="57" t="str">
        <f t="shared" si="10"/>
        <v xml:space="preserve"> </v>
      </c>
      <c r="D86" s="57" t="str">
        <f t="shared" si="11"/>
        <v xml:space="preserve"> </v>
      </c>
      <c r="E86" s="84" t="str">
        <f t="shared" si="12"/>
        <v xml:space="preserve"> </v>
      </c>
      <c r="F86" s="650"/>
      <c r="G86" s="64" t="s">
        <v>97</v>
      </c>
      <c r="H86" s="140" t="s">
        <v>97</v>
      </c>
      <c r="I86" s="140" t="s">
        <v>97</v>
      </c>
      <c r="J86" s="140" t="s">
        <v>97</v>
      </c>
      <c r="K86" s="140" t="s">
        <v>97</v>
      </c>
      <c r="L86" s="140" t="s">
        <v>97</v>
      </c>
      <c r="M86" s="140" t="s">
        <v>97</v>
      </c>
      <c r="N86" s="140" t="s">
        <v>97</v>
      </c>
      <c r="O86" s="140" t="s">
        <v>97</v>
      </c>
      <c r="P86" s="140" t="s">
        <v>97</v>
      </c>
      <c r="Q86" s="140" t="s">
        <v>97</v>
      </c>
      <c r="R86" s="140" t="s">
        <v>97</v>
      </c>
      <c r="S86" s="140" t="s">
        <v>97</v>
      </c>
      <c r="T86" s="140" t="s">
        <v>97</v>
      </c>
      <c r="U86" s="140" t="s">
        <v>97</v>
      </c>
      <c r="V86" s="140" t="s">
        <v>97</v>
      </c>
      <c r="W86" s="140" t="s">
        <v>97</v>
      </c>
      <c r="X86" s="140" t="s">
        <v>97</v>
      </c>
      <c r="Y86" s="140" t="s">
        <v>97</v>
      </c>
      <c r="Z86" s="140" t="s">
        <v>97</v>
      </c>
      <c r="AA86" s="140" t="s">
        <v>97</v>
      </c>
      <c r="AB86" s="140" t="s">
        <v>97</v>
      </c>
      <c r="AC86" s="140" t="s">
        <v>97</v>
      </c>
      <c r="AD86" s="140" t="s">
        <v>97</v>
      </c>
      <c r="AE86" s="140" t="s">
        <v>97</v>
      </c>
      <c r="AF86" s="140" t="s">
        <v>97</v>
      </c>
      <c r="AG86" s="140" t="s">
        <v>97</v>
      </c>
      <c r="AH86" s="140" t="s">
        <v>97</v>
      </c>
      <c r="AI86" s="140" t="s">
        <v>97</v>
      </c>
      <c r="AJ86" s="140" t="s">
        <v>97</v>
      </c>
      <c r="AK86" s="140" t="s">
        <v>97</v>
      </c>
      <c r="AL86" s="140" t="s">
        <v>97</v>
      </c>
      <c r="AM86" s="140" t="s">
        <v>97</v>
      </c>
      <c r="AN86" s="140" t="s">
        <v>97</v>
      </c>
      <c r="AO86" s="140" t="s">
        <v>97</v>
      </c>
      <c r="AP86" s="140" t="s">
        <v>97</v>
      </c>
      <c r="AQ86" s="140" t="s">
        <v>97</v>
      </c>
      <c r="AR86" s="140" t="s">
        <v>97</v>
      </c>
      <c r="AS86" s="140" t="s">
        <v>97</v>
      </c>
      <c r="AT86" s="140" t="s">
        <v>97</v>
      </c>
      <c r="AU86" s="140" t="s">
        <v>97</v>
      </c>
      <c r="AV86" s="140" t="s">
        <v>97</v>
      </c>
      <c r="AW86" s="140" t="s">
        <v>97</v>
      </c>
      <c r="AX86" s="140" t="s">
        <v>97</v>
      </c>
      <c r="AY86" s="140" t="s">
        <v>97</v>
      </c>
      <c r="AZ86" s="140" t="s">
        <v>97</v>
      </c>
      <c r="BA86" s="140" t="s">
        <v>97</v>
      </c>
      <c r="BB86" s="140" t="s">
        <v>97</v>
      </c>
      <c r="BC86" s="140" t="s">
        <v>97</v>
      </c>
      <c r="BD86" s="140" t="s">
        <v>97</v>
      </c>
      <c r="BE86" s="140" t="s">
        <v>97</v>
      </c>
      <c r="BF86" s="140" t="s">
        <v>97</v>
      </c>
      <c r="BG86" s="140" t="s">
        <v>97</v>
      </c>
      <c r="BH86" s="140" t="s">
        <v>97</v>
      </c>
      <c r="BI86" s="140" t="s">
        <v>97</v>
      </c>
      <c r="BJ86" s="140" t="s">
        <v>97</v>
      </c>
      <c r="BK86" s="140" t="s">
        <v>97</v>
      </c>
      <c r="BL86" s="140" t="s">
        <v>97</v>
      </c>
      <c r="BM86" s="140" t="s">
        <v>97</v>
      </c>
      <c r="BN86" s="140" t="s">
        <v>97</v>
      </c>
      <c r="BO86" s="140" t="s">
        <v>97</v>
      </c>
      <c r="BP86" s="140" t="s">
        <v>97</v>
      </c>
      <c r="BQ86" s="140" t="s">
        <v>97</v>
      </c>
      <c r="BR86" s="140" t="s">
        <v>97</v>
      </c>
      <c r="BS86" s="140" t="s">
        <v>97</v>
      </c>
      <c r="BT86" s="140" t="s">
        <v>97</v>
      </c>
      <c r="BU86" s="140" t="s">
        <v>97</v>
      </c>
      <c r="BV86" s="140" t="s">
        <v>97</v>
      </c>
      <c r="BW86" s="140" t="s">
        <v>97</v>
      </c>
      <c r="BX86" s="140" t="s">
        <v>97</v>
      </c>
      <c r="BY86" s="140" t="s">
        <v>97</v>
      </c>
      <c r="BZ86" s="140" t="s">
        <v>97</v>
      </c>
      <c r="CA86" s="140" t="s">
        <v>97</v>
      </c>
      <c r="CB86" s="140" t="s">
        <v>97</v>
      </c>
      <c r="CC86" s="140" t="s">
        <v>97</v>
      </c>
      <c r="CD86" s="140" t="s">
        <v>97</v>
      </c>
      <c r="CE86" s="140" t="s">
        <v>97</v>
      </c>
      <c r="CF86" s="140" t="s">
        <v>97</v>
      </c>
      <c r="CG86" s="140" t="s">
        <v>97</v>
      </c>
      <c r="CH86" s="140" t="s">
        <v>97</v>
      </c>
      <c r="CI86" s="140" t="s">
        <v>97</v>
      </c>
      <c r="CJ86" s="140" t="s">
        <v>97</v>
      </c>
      <c r="CK86" s="140" t="s">
        <v>97</v>
      </c>
      <c r="CL86" s="140" t="s">
        <v>97</v>
      </c>
      <c r="CM86" s="140" t="s">
        <v>97</v>
      </c>
      <c r="CN86" s="140" t="s">
        <v>97</v>
      </c>
      <c r="CO86" s="140" t="s">
        <v>97</v>
      </c>
      <c r="CP86" s="140" t="s">
        <v>97</v>
      </c>
      <c r="CQ86" s="140" t="s">
        <v>97</v>
      </c>
      <c r="CR86" s="140" t="s">
        <v>97</v>
      </c>
      <c r="CS86" s="140" t="s">
        <v>97</v>
      </c>
      <c r="CT86" s="140" t="s">
        <v>97</v>
      </c>
      <c r="CU86" s="140" t="s">
        <v>97</v>
      </c>
      <c r="CV86" s="140" t="s">
        <v>97</v>
      </c>
      <c r="CW86" s="140" t="s">
        <v>97</v>
      </c>
      <c r="CX86" s="140" t="s">
        <v>97</v>
      </c>
      <c r="CY86" s="140" t="s">
        <v>97</v>
      </c>
      <c r="CZ86" s="140" t="s">
        <v>97</v>
      </c>
      <c r="DA86" s="140" t="s">
        <v>97</v>
      </c>
      <c r="DB86" s="140" t="s">
        <v>97</v>
      </c>
      <c r="DC86" s="140" t="s">
        <v>97</v>
      </c>
      <c r="DD86" s="140" t="s">
        <v>97</v>
      </c>
      <c r="DE86" s="113" t="s">
        <v>97</v>
      </c>
      <c r="DF86" s="113" t="s">
        <v>97</v>
      </c>
      <c r="DG86" s="113" t="s">
        <v>97</v>
      </c>
      <c r="DH86" s="113" t="s">
        <v>97</v>
      </c>
      <c r="DI86" s="113" t="s">
        <v>97</v>
      </c>
      <c r="DJ86" s="113" t="s">
        <v>97</v>
      </c>
      <c r="DK86" s="113" t="s">
        <v>97</v>
      </c>
      <c r="DL86" s="113" t="s">
        <v>97</v>
      </c>
      <c r="DM86" s="113" t="s">
        <v>97</v>
      </c>
      <c r="DN86" s="113" t="s">
        <v>97</v>
      </c>
      <c r="DO86" s="113" t="s">
        <v>97</v>
      </c>
      <c r="DP86" s="114" t="s">
        <v>97</v>
      </c>
      <c r="DW86" s="205" t="s">
        <v>97</v>
      </c>
      <c r="DX86" s="114" t="s">
        <v>97</v>
      </c>
      <c r="DY86" s="114" t="s">
        <v>97</v>
      </c>
      <c r="DZ86" s="114" t="s">
        <v>97</v>
      </c>
    </row>
    <row r="87" spans="1:130" s="185" customFormat="1" outlineLevel="2">
      <c r="A87" s="658"/>
      <c r="B87" s="57" t="str">
        <f t="shared" si="13"/>
        <v xml:space="preserve"> </v>
      </c>
      <c r="C87" s="57" t="str">
        <f t="shared" si="10"/>
        <v xml:space="preserve"> </v>
      </c>
      <c r="D87" s="57" t="str">
        <f t="shared" si="11"/>
        <v xml:space="preserve"> </v>
      </c>
      <c r="E87" s="84" t="str">
        <f t="shared" si="12"/>
        <v xml:space="preserve"> </v>
      </c>
      <c r="F87" s="650"/>
      <c r="G87" s="64" t="s">
        <v>97</v>
      </c>
      <c r="H87" s="140" t="s">
        <v>97</v>
      </c>
      <c r="I87" s="140" t="s">
        <v>97</v>
      </c>
      <c r="J87" s="140" t="s">
        <v>97</v>
      </c>
      <c r="K87" s="140" t="s">
        <v>97</v>
      </c>
      <c r="L87" s="140" t="s">
        <v>97</v>
      </c>
      <c r="M87" s="140" t="s">
        <v>97</v>
      </c>
      <c r="N87" s="140" t="s">
        <v>97</v>
      </c>
      <c r="O87" s="140" t="s">
        <v>97</v>
      </c>
      <c r="P87" s="140" t="s">
        <v>97</v>
      </c>
      <c r="Q87" s="140" t="s">
        <v>97</v>
      </c>
      <c r="R87" s="140" t="s">
        <v>97</v>
      </c>
      <c r="S87" s="140" t="s">
        <v>97</v>
      </c>
      <c r="T87" s="140" t="s">
        <v>97</v>
      </c>
      <c r="U87" s="140" t="s">
        <v>97</v>
      </c>
      <c r="V87" s="140" t="s">
        <v>97</v>
      </c>
      <c r="W87" s="140" t="s">
        <v>97</v>
      </c>
      <c r="X87" s="140" t="s">
        <v>97</v>
      </c>
      <c r="Y87" s="140" t="s">
        <v>97</v>
      </c>
      <c r="Z87" s="140" t="s">
        <v>97</v>
      </c>
      <c r="AA87" s="140" t="s">
        <v>97</v>
      </c>
      <c r="AB87" s="140" t="s">
        <v>97</v>
      </c>
      <c r="AC87" s="140" t="s">
        <v>97</v>
      </c>
      <c r="AD87" s="140" t="s">
        <v>97</v>
      </c>
      <c r="AE87" s="140" t="s">
        <v>97</v>
      </c>
      <c r="AF87" s="140" t="s">
        <v>97</v>
      </c>
      <c r="AG87" s="140" t="s">
        <v>97</v>
      </c>
      <c r="AH87" s="140" t="s">
        <v>97</v>
      </c>
      <c r="AI87" s="140" t="s">
        <v>97</v>
      </c>
      <c r="AJ87" s="140" t="s">
        <v>97</v>
      </c>
      <c r="AK87" s="140" t="s">
        <v>97</v>
      </c>
      <c r="AL87" s="140" t="s">
        <v>97</v>
      </c>
      <c r="AM87" s="140" t="s">
        <v>97</v>
      </c>
      <c r="AN87" s="140" t="s">
        <v>97</v>
      </c>
      <c r="AO87" s="140" t="s">
        <v>97</v>
      </c>
      <c r="AP87" s="140" t="s">
        <v>97</v>
      </c>
      <c r="AQ87" s="140" t="s">
        <v>97</v>
      </c>
      <c r="AR87" s="140" t="s">
        <v>97</v>
      </c>
      <c r="AS87" s="140" t="s">
        <v>97</v>
      </c>
      <c r="AT87" s="140" t="s">
        <v>97</v>
      </c>
      <c r="AU87" s="140" t="s">
        <v>97</v>
      </c>
      <c r="AV87" s="140" t="s">
        <v>97</v>
      </c>
      <c r="AW87" s="140" t="s">
        <v>97</v>
      </c>
      <c r="AX87" s="140" t="s">
        <v>97</v>
      </c>
      <c r="AY87" s="140" t="s">
        <v>97</v>
      </c>
      <c r="AZ87" s="140" t="s">
        <v>97</v>
      </c>
      <c r="BA87" s="140" t="s">
        <v>97</v>
      </c>
      <c r="BB87" s="140" t="s">
        <v>97</v>
      </c>
      <c r="BC87" s="140" t="s">
        <v>97</v>
      </c>
      <c r="BD87" s="140" t="s">
        <v>97</v>
      </c>
      <c r="BE87" s="140" t="s">
        <v>97</v>
      </c>
      <c r="BF87" s="140" t="s">
        <v>97</v>
      </c>
      <c r="BG87" s="140" t="s">
        <v>97</v>
      </c>
      <c r="BH87" s="140" t="s">
        <v>97</v>
      </c>
      <c r="BI87" s="140" t="s">
        <v>97</v>
      </c>
      <c r="BJ87" s="140" t="s">
        <v>97</v>
      </c>
      <c r="BK87" s="140" t="s">
        <v>97</v>
      </c>
      <c r="BL87" s="140" t="s">
        <v>97</v>
      </c>
      <c r="BM87" s="140" t="s">
        <v>97</v>
      </c>
      <c r="BN87" s="140" t="s">
        <v>97</v>
      </c>
      <c r="BO87" s="140" t="s">
        <v>97</v>
      </c>
      <c r="BP87" s="140" t="s">
        <v>97</v>
      </c>
      <c r="BQ87" s="140" t="s">
        <v>97</v>
      </c>
      <c r="BR87" s="140" t="s">
        <v>97</v>
      </c>
      <c r="BS87" s="140" t="s">
        <v>97</v>
      </c>
      <c r="BT87" s="140" t="s">
        <v>97</v>
      </c>
      <c r="BU87" s="140" t="s">
        <v>97</v>
      </c>
      <c r="BV87" s="140" t="s">
        <v>97</v>
      </c>
      <c r="BW87" s="140" t="s">
        <v>97</v>
      </c>
      <c r="BX87" s="140" t="s">
        <v>97</v>
      </c>
      <c r="BY87" s="140" t="s">
        <v>97</v>
      </c>
      <c r="BZ87" s="140" t="s">
        <v>97</v>
      </c>
      <c r="CA87" s="140" t="s">
        <v>97</v>
      </c>
      <c r="CB87" s="140" t="s">
        <v>97</v>
      </c>
      <c r="CC87" s="140" t="s">
        <v>97</v>
      </c>
      <c r="CD87" s="140" t="s">
        <v>97</v>
      </c>
      <c r="CE87" s="140" t="s">
        <v>97</v>
      </c>
      <c r="CF87" s="140" t="s">
        <v>97</v>
      </c>
      <c r="CG87" s="140" t="s">
        <v>97</v>
      </c>
      <c r="CH87" s="140" t="s">
        <v>97</v>
      </c>
      <c r="CI87" s="140" t="s">
        <v>97</v>
      </c>
      <c r="CJ87" s="140" t="s">
        <v>97</v>
      </c>
      <c r="CK87" s="140" t="s">
        <v>97</v>
      </c>
      <c r="CL87" s="140" t="s">
        <v>97</v>
      </c>
      <c r="CM87" s="140" t="s">
        <v>97</v>
      </c>
      <c r="CN87" s="140" t="s">
        <v>97</v>
      </c>
      <c r="CO87" s="140" t="s">
        <v>97</v>
      </c>
      <c r="CP87" s="140" t="s">
        <v>97</v>
      </c>
      <c r="CQ87" s="140" t="s">
        <v>97</v>
      </c>
      <c r="CR87" s="140" t="s">
        <v>97</v>
      </c>
      <c r="CS87" s="140" t="s">
        <v>97</v>
      </c>
      <c r="CT87" s="140" t="s">
        <v>97</v>
      </c>
      <c r="CU87" s="140" t="s">
        <v>97</v>
      </c>
      <c r="CV87" s="140" t="s">
        <v>97</v>
      </c>
      <c r="CW87" s="140" t="s">
        <v>97</v>
      </c>
      <c r="CX87" s="140" t="s">
        <v>97</v>
      </c>
      <c r="CY87" s="140" t="s">
        <v>97</v>
      </c>
      <c r="CZ87" s="140" t="s">
        <v>97</v>
      </c>
      <c r="DA87" s="140" t="s">
        <v>97</v>
      </c>
      <c r="DB87" s="140" t="s">
        <v>97</v>
      </c>
      <c r="DC87" s="140" t="s">
        <v>97</v>
      </c>
      <c r="DD87" s="140" t="s">
        <v>97</v>
      </c>
      <c r="DE87" s="113" t="s">
        <v>97</v>
      </c>
      <c r="DF87" s="113" t="s">
        <v>97</v>
      </c>
      <c r="DG87" s="113" t="s">
        <v>97</v>
      </c>
      <c r="DH87" s="113" t="s">
        <v>97</v>
      </c>
      <c r="DI87" s="113" t="s">
        <v>97</v>
      </c>
      <c r="DJ87" s="113" t="s">
        <v>97</v>
      </c>
      <c r="DK87" s="113" t="s">
        <v>97</v>
      </c>
      <c r="DL87" s="113" t="s">
        <v>97</v>
      </c>
      <c r="DM87" s="113" t="s">
        <v>97</v>
      </c>
      <c r="DN87" s="113" t="s">
        <v>97</v>
      </c>
      <c r="DO87" s="113" t="s">
        <v>97</v>
      </c>
      <c r="DP87" s="114" t="s">
        <v>97</v>
      </c>
      <c r="DW87" s="205" t="s">
        <v>97</v>
      </c>
      <c r="DX87" s="114" t="s">
        <v>97</v>
      </c>
      <c r="DY87" s="114" t="s">
        <v>97</v>
      </c>
      <c r="DZ87" s="114" t="s">
        <v>97</v>
      </c>
    </row>
    <row r="88" spans="1:130" s="185" customFormat="1" outlineLevel="2">
      <c r="A88" s="658"/>
      <c r="B88" s="57" t="str">
        <f t="shared" si="13"/>
        <v xml:space="preserve"> </v>
      </c>
      <c r="C88" s="57" t="str">
        <f t="shared" si="10"/>
        <v xml:space="preserve"> </v>
      </c>
      <c r="D88" s="57" t="str">
        <f t="shared" si="11"/>
        <v xml:space="preserve"> </v>
      </c>
      <c r="E88" s="84" t="str">
        <f t="shared" si="12"/>
        <v xml:space="preserve"> </v>
      </c>
      <c r="F88" s="650"/>
      <c r="G88" s="64" t="s">
        <v>97</v>
      </c>
      <c r="H88" s="140" t="s">
        <v>97</v>
      </c>
      <c r="I88" s="140" t="s">
        <v>97</v>
      </c>
      <c r="J88" s="140" t="s">
        <v>97</v>
      </c>
      <c r="K88" s="140" t="s">
        <v>97</v>
      </c>
      <c r="L88" s="140" t="s">
        <v>97</v>
      </c>
      <c r="M88" s="140" t="s">
        <v>97</v>
      </c>
      <c r="N88" s="140" t="s">
        <v>97</v>
      </c>
      <c r="O88" s="140" t="s">
        <v>97</v>
      </c>
      <c r="P88" s="140" t="s">
        <v>97</v>
      </c>
      <c r="Q88" s="140" t="s">
        <v>97</v>
      </c>
      <c r="R88" s="140" t="s">
        <v>97</v>
      </c>
      <c r="S88" s="140" t="s">
        <v>97</v>
      </c>
      <c r="T88" s="140" t="s">
        <v>97</v>
      </c>
      <c r="U88" s="140" t="s">
        <v>97</v>
      </c>
      <c r="V88" s="140" t="s">
        <v>97</v>
      </c>
      <c r="W88" s="140" t="s">
        <v>97</v>
      </c>
      <c r="X88" s="140" t="s">
        <v>97</v>
      </c>
      <c r="Y88" s="140" t="s">
        <v>97</v>
      </c>
      <c r="Z88" s="140" t="s">
        <v>97</v>
      </c>
      <c r="AA88" s="140" t="s">
        <v>97</v>
      </c>
      <c r="AB88" s="140" t="s">
        <v>97</v>
      </c>
      <c r="AC88" s="140" t="s">
        <v>97</v>
      </c>
      <c r="AD88" s="140" t="s">
        <v>97</v>
      </c>
      <c r="AE88" s="140" t="s">
        <v>97</v>
      </c>
      <c r="AF88" s="140" t="s">
        <v>97</v>
      </c>
      <c r="AG88" s="140" t="s">
        <v>97</v>
      </c>
      <c r="AH88" s="140" t="s">
        <v>97</v>
      </c>
      <c r="AI88" s="140" t="s">
        <v>97</v>
      </c>
      <c r="AJ88" s="140" t="s">
        <v>97</v>
      </c>
      <c r="AK88" s="140" t="s">
        <v>97</v>
      </c>
      <c r="AL88" s="140" t="s">
        <v>97</v>
      </c>
      <c r="AM88" s="140" t="s">
        <v>97</v>
      </c>
      <c r="AN88" s="140" t="s">
        <v>97</v>
      </c>
      <c r="AO88" s="140" t="s">
        <v>97</v>
      </c>
      <c r="AP88" s="140" t="s">
        <v>97</v>
      </c>
      <c r="AQ88" s="140" t="s">
        <v>97</v>
      </c>
      <c r="AR88" s="140" t="s">
        <v>97</v>
      </c>
      <c r="AS88" s="140" t="s">
        <v>97</v>
      </c>
      <c r="AT88" s="140" t="s">
        <v>97</v>
      </c>
      <c r="AU88" s="140" t="s">
        <v>97</v>
      </c>
      <c r="AV88" s="140" t="s">
        <v>97</v>
      </c>
      <c r="AW88" s="140" t="s">
        <v>97</v>
      </c>
      <c r="AX88" s="140" t="s">
        <v>97</v>
      </c>
      <c r="AY88" s="140" t="s">
        <v>97</v>
      </c>
      <c r="AZ88" s="140" t="s">
        <v>97</v>
      </c>
      <c r="BA88" s="140" t="s">
        <v>97</v>
      </c>
      <c r="BB88" s="140" t="s">
        <v>97</v>
      </c>
      <c r="BC88" s="140" t="s">
        <v>97</v>
      </c>
      <c r="BD88" s="140" t="s">
        <v>97</v>
      </c>
      <c r="BE88" s="140" t="s">
        <v>97</v>
      </c>
      <c r="BF88" s="140" t="s">
        <v>97</v>
      </c>
      <c r="BG88" s="140" t="s">
        <v>97</v>
      </c>
      <c r="BH88" s="140" t="s">
        <v>97</v>
      </c>
      <c r="BI88" s="140" t="s">
        <v>97</v>
      </c>
      <c r="BJ88" s="140" t="s">
        <v>97</v>
      </c>
      <c r="BK88" s="140" t="s">
        <v>97</v>
      </c>
      <c r="BL88" s="140" t="s">
        <v>97</v>
      </c>
      <c r="BM88" s="140" t="s">
        <v>97</v>
      </c>
      <c r="BN88" s="140" t="s">
        <v>97</v>
      </c>
      <c r="BO88" s="140" t="s">
        <v>97</v>
      </c>
      <c r="BP88" s="140" t="s">
        <v>97</v>
      </c>
      <c r="BQ88" s="140" t="s">
        <v>97</v>
      </c>
      <c r="BR88" s="140" t="s">
        <v>97</v>
      </c>
      <c r="BS88" s="140" t="s">
        <v>97</v>
      </c>
      <c r="BT88" s="140" t="s">
        <v>97</v>
      </c>
      <c r="BU88" s="140" t="s">
        <v>97</v>
      </c>
      <c r="BV88" s="140" t="s">
        <v>97</v>
      </c>
      <c r="BW88" s="140" t="s">
        <v>97</v>
      </c>
      <c r="BX88" s="140" t="s">
        <v>97</v>
      </c>
      <c r="BY88" s="140" t="s">
        <v>97</v>
      </c>
      <c r="BZ88" s="140" t="s">
        <v>97</v>
      </c>
      <c r="CA88" s="140" t="s">
        <v>97</v>
      </c>
      <c r="CB88" s="140" t="s">
        <v>97</v>
      </c>
      <c r="CC88" s="140" t="s">
        <v>97</v>
      </c>
      <c r="CD88" s="140" t="s">
        <v>97</v>
      </c>
      <c r="CE88" s="140" t="s">
        <v>97</v>
      </c>
      <c r="CF88" s="140" t="s">
        <v>97</v>
      </c>
      <c r="CG88" s="140" t="s">
        <v>97</v>
      </c>
      <c r="CH88" s="140" t="s">
        <v>97</v>
      </c>
      <c r="CI88" s="140" t="s">
        <v>97</v>
      </c>
      <c r="CJ88" s="140" t="s">
        <v>97</v>
      </c>
      <c r="CK88" s="140" t="s">
        <v>97</v>
      </c>
      <c r="CL88" s="140" t="s">
        <v>97</v>
      </c>
      <c r="CM88" s="140" t="s">
        <v>97</v>
      </c>
      <c r="CN88" s="140" t="s">
        <v>97</v>
      </c>
      <c r="CO88" s="140" t="s">
        <v>97</v>
      </c>
      <c r="CP88" s="140" t="s">
        <v>97</v>
      </c>
      <c r="CQ88" s="140" t="s">
        <v>97</v>
      </c>
      <c r="CR88" s="140" t="s">
        <v>97</v>
      </c>
      <c r="CS88" s="140" t="s">
        <v>97</v>
      </c>
      <c r="CT88" s="140" t="s">
        <v>97</v>
      </c>
      <c r="CU88" s="140" t="s">
        <v>97</v>
      </c>
      <c r="CV88" s="140" t="s">
        <v>97</v>
      </c>
      <c r="CW88" s="140" t="s">
        <v>97</v>
      </c>
      <c r="CX88" s="140" t="s">
        <v>97</v>
      </c>
      <c r="CY88" s="140" t="s">
        <v>97</v>
      </c>
      <c r="CZ88" s="140" t="s">
        <v>97</v>
      </c>
      <c r="DA88" s="140" t="s">
        <v>97</v>
      </c>
      <c r="DB88" s="140" t="s">
        <v>97</v>
      </c>
      <c r="DC88" s="140" t="s">
        <v>97</v>
      </c>
      <c r="DD88" s="140" t="s">
        <v>97</v>
      </c>
      <c r="DE88" s="113" t="s">
        <v>97</v>
      </c>
      <c r="DF88" s="113" t="s">
        <v>97</v>
      </c>
      <c r="DG88" s="113" t="s">
        <v>97</v>
      </c>
      <c r="DH88" s="113" t="s">
        <v>97</v>
      </c>
      <c r="DI88" s="113" t="s">
        <v>97</v>
      </c>
      <c r="DJ88" s="113" t="s">
        <v>97</v>
      </c>
      <c r="DK88" s="113" t="s">
        <v>97</v>
      </c>
      <c r="DL88" s="113" t="s">
        <v>97</v>
      </c>
      <c r="DM88" s="113" t="s">
        <v>97</v>
      </c>
      <c r="DN88" s="113" t="s">
        <v>97</v>
      </c>
      <c r="DO88" s="113" t="s">
        <v>97</v>
      </c>
      <c r="DP88" s="114" t="s">
        <v>97</v>
      </c>
      <c r="DW88" s="205" t="s">
        <v>97</v>
      </c>
      <c r="DX88" s="114" t="s">
        <v>97</v>
      </c>
      <c r="DY88" s="114" t="s">
        <v>97</v>
      </c>
      <c r="DZ88" s="114" t="s">
        <v>97</v>
      </c>
    </row>
    <row r="89" spans="1:130" s="185" customFormat="1" outlineLevel="2">
      <c r="A89" s="658"/>
      <c r="B89" s="57" t="str">
        <f t="shared" si="13"/>
        <v xml:space="preserve"> </v>
      </c>
      <c r="C89" s="57" t="str">
        <f t="shared" si="10"/>
        <v xml:space="preserve"> </v>
      </c>
      <c r="D89" s="57" t="str">
        <f t="shared" si="11"/>
        <v xml:space="preserve"> </v>
      </c>
      <c r="E89" s="84" t="str">
        <f t="shared" si="12"/>
        <v xml:space="preserve"> </v>
      </c>
      <c r="F89" s="650"/>
      <c r="G89" s="64" t="s">
        <v>97</v>
      </c>
      <c r="H89" s="140" t="s">
        <v>97</v>
      </c>
      <c r="I89" s="140" t="s">
        <v>97</v>
      </c>
      <c r="J89" s="140" t="s">
        <v>97</v>
      </c>
      <c r="K89" s="140" t="s">
        <v>97</v>
      </c>
      <c r="L89" s="140" t="s">
        <v>97</v>
      </c>
      <c r="M89" s="140" t="s">
        <v>97</v>
      </c>
      <c r="N89" s="140" t="s">
        <v>97</v>
      </c>
      <c r="O89" s="140" t="s">
        <v>97</v>
      </c>
      <c r="P89" s="140" t="s">
        <v>97</v>
      </c>
      <c r="Q89" s="140" t="s">
        <v>97</v>
      </c>
      <c r="R89" s="140" t="s">
        <v>97</v>
      </c>
      <c r="S89" s="140" t="s">
        <v>97</v>
      </c>
      <c r="T89" s="140" t="s">
        <v>97</v>
      </c>
      <c r="U89" s="140" t="s">
        <v>97</v>
      </c>
      <c r="V89" s="140" t="s">
        <v>97</v>
      </c>
      <c r="W89" s="140" t="s">
        <v>97</v>
      </c>
      <c r="X89" s="140" t="s">
        <v>97</v>
      </c>
      <c r="Y89" s="140" t="s">
        <v>97</v>
      </c>
      <c r="Z89" s="140" t="s">
        <v>97</v>
      </c>
      <c r="AA89" s="140" t="s">
        <v>97</v>
      </c>
      <c r="AB89" s="140" t="s">
        <v>97</v>
      </c>
      <c r="AC89" s="140" t="s">
        <v>97</v>
      </c>
      <c r="AD89" s="140" t="s">
        <v>97</v>
      </c>
      <c r="AE89" s="140" t="s">
        <v>97</v>
      </c>
      <c r="AF89" s="140" t="s">
        <v>97</v>
      </c>
      <c r="AG89" s="140" t="s">
        <v>97</v>
      </c>
      <c r="AH89" s="140" t="s">
        <v>97</v>
      </c>
      <c r="AI89" s="140" t="s">
        <v>97</v>
      </c>
      <c r="AJ89" s="140" t="s">
        <v>97</v>
      </c>
      <c r="AK89" s="140" t="s">
        <v>97</v>
      </c>
      <c r="AL89" s="140" t="s">
        <v>97</v>
      </c>
      <c r="AM89" s="140" t="s">
        <v>97</v>
      </c>
      <c r="AN89" s="140" t="s">
        <v>97</v>
      </c>
      <c r="AO89" s="140" t="s">
        <v>97</v>
      </c>
      <c r="AP89" s="140" t="s">
        <v>97</v>
      </c>
      <c r="AQ89" s="140" t="s">
        <v>97</v>
      </c>
      <c r="AR89" s="140" t="s">
        <v>97</v>
      </c>
      <c r="AS89" s="140" t="s">
        <v>97</v>
      </c>
      <c r="AT89" s="140" t="s">
        <v>97</v>
      </c>
      <c r="AU89" s="140" t="s">
        <v>97</v>
      </c>
      <c r="AV89" s="140" t="s">
        <v>97</v>
      </c>
      <c r="AW89" s="140" t="s">
        <v>97</v>
      </c>
      <c r="AX89" s="140" t="s">
        <v>97</v>
      </c>
      <c r="AY89" s="140" t="s">
        <v>97</v>
      </c>
      <c r="AZ89" s="140" t="s">
        <v>97</v>
      </c>
      <c r="BA89" s="140" t="s">
        <v>97</v>
      </c>
      <c r="BB89" s="140" t="s">
        <v>97</v>
      </c>
      <c r="BC89" s="140" t="s">
        <v>97</v>
      </c>
      <c r="BD89" s="140" t="s">
        <v>97</v>
      </c>
      <c r="BE89" s="140" t="s">
        <v>97</v>
      </c>
      <c r="BF89" s="140" t="s">
        <v>97</v>
      </c>
      <c r="BG89" s="140" t="s">
        <v>97</v>
      </c>
      <c r="BH89" s="140" t="s">
        <v>97</v>
      </c>
      <c r="BI89" s="140" t="s">
        <v>97</v>
      </c>
      <c r="BJ89" s="140" t="s">
        <v>97</v>
      </c>
      <c r="BK89" s="140" t="s">
        <v>97</v>
      </c>
      <c r="BL89" s="140" t="s">
        <v>97</v>
      </c>
      <c r="BM89" s="140" t="s">
        <v>97</v>
      </c>
      <c r="BN89" s="140" t="s">
        <v>97</v>
      </c>
      <c r="BO89" s="140" t="s">
        <v>97</v>
      </c>
      <c r="BP89" s="140" t="s">
        <v>97</v>
      </c>
      <c r="BQ89" s="140" t="s">
        <v>97</v>
      </c>
      <c r="BR89" s="140" t="s">
        <v>97</v>
      </c>
      <c r="BS89" s="140" t="s">
        <v>97</v>
      </c>
      <c r="BT89" s="140" t="s">
        <v>97</v>
      </c>
      <c r="BU89" s="140" t="s">
        <v>97</v>
      </c>
      <c r="BV89" s="140" t="s">
        <v>97</v>
      </c>
      <c r="BW89" s="140" t="s">
        <v>97</v>
      </c>
      <c r="BX89" s="140" t="s">
        <v>97</v>
      </c>
      <c r="BY89" s="140" t="s">
        <v>97</v>
      </c>
      <c r="BZ89" s="140" t="s">
        <v>97</v>
      </c>
      <c r="CA89" s="140" t="s">
        <v>97</v>
      </c>
      <c r="CB89" s="140" t="s">
        <v>97</v>
      </c>
      <c r="CC89" s="140" t="s">
        <v>97</v>
      </c>
      <c r="CD89" s="140" t="s">
        <v>97</v>
      </c>
      <c r="CE89" s="140" t="s">
        <v>97</v>
      </c>
      <c r="CF89" s="140" t="s">
        <v>97</v>
      </c>
      <c r="CG89" s="140" t="s">
        <v>97</v>
      </c>
      <c r="CH89" s="140" t="s">
        <v>97</v>
      </c>
      <c r="CI89" s="140" t="s">
        <v>97</v>
      </c>
      <c r="CJ89" s="140" t="s">
        <v>97</v>
      </c>
      <c r="CK89" s="140" t="s">
        <v>97</v>
      </c>
      <c r="CL89" s="140" t="s">
        <v>97</v>
      </c>
      <c r="CM89" s="140" t="s">
        <v>97</v>
      </c>
      <c r="CN89" s="140" t="s">
        <v>97</v>
      </c>
      <c r="CO89" s="140" t="s">
        <v>97</v>
      </c>
      <c r="CP89" s="140" t="s">
        <v>97</v>
      </c>
      <c r="CQ89" s="140" t="s">
        <v>97</v>
      </c>
      <c r="CR89" s="140" t="s">
        <v>97</v>
      </c>
      <c r="CS89" s="140" t="s">
        <v>97</v>
      </c>
      <c r="CT89" s="140" t="s">
        <v>97</v>
      </c>
      <c r="CU89" s="140" t="s">
        <v>97</v>
      </c>
      <c r="CV89" s="140" t="s">
        <v>97</v>
      </c>
      <c r="CW89" s="140" t="s">
        <v>97</v>
      </c>
      <c r="CX89" s="140" t="s">
        <v>97</v>
      </c>
      <c r="CY89" s="140" t="s">
        <v>97</v>
      </c>
      <c r="CZ89" s="140" t="s">
        <v>97</v>
      </c>
      <c r="DA89" s="140" t="s">
        <v>97</v>
      </c>
      <c r="DB89" s="140" t="s">
        <v>97</v>
      </c>
      <c r="DC89" s="140" t="s">
        <v>97</v>
      </c>
      <c r="DD89" s="113" t="s">
        <v>97</v>
      </c>
      <c r="DE89" s="113" t="s">
        <v>97</v>
      </c>
      <c r="DF89" s="113" t="s">
        <v>97</v>
      </c>
      <c r="DG89" s="113" t="s">
        <v>97</v>
      </c>
      <c r="DH89" s="113" t="s">
        <v>97</v>
      </c>
      <c r="DI89" s="113" t="s">
        <v>97</v>
      </c>
      <c r="DJ89" s="113" t="s">
        <v>97</v>
      </c>
      <c r="DK89" s="113" t="s">
        <v>97</v>
      </c>
      <c r="DL89" s="113" t="s">
        <v>97</v>
      </c>
      <c r="DM89" s="113" t="s">
        <v>97</v>
      </c>
      <c r="DN89" s="113" t="s">
        <v>97</v>
      </c>
      <c r="DO89" s="113" t="s">
        <v>97</v>
      </c>
      <c r="DP89" s="114" t="s">
        <v>97</v>
      </c>
      <c r="DW89" s="205" t="s">
        <v>97</v>
      </c>
      <c r="DX89" s="114" t="s">
        <v>97</v>
      </c>
      <c r="DY89" s="114" t="s">
        <v>97</v>
      </c>
      <c r="DZ89" s="114" t="s">
        <v>97</v>
      </c>
    </row>
    <row r="90" spans="1:130" s="185" customFormat="1" outlineLevel="2">
      <c r="A90" s="658"/>
      <c r="B90" s="57" t="str">
        <f t="shared" si="13"/>
        <v xml:space="preserve"> </v>
      </c>
      <c r="C90" s="57" t="str">
        <f t="shared" si="10"/>
        <v xml:space="preserve"> </v>
      </c>
      <c r="D90" s="57" t="str">
        <f t="shared" si="11"/>
        <v xml:space="preserve"> </v>
      </c>
      <c r="E90" s="84" t="str">
        <f t="shared" si="12"/>
        <v xml:space="preserve"> </v>
      </c>
      <c r="F90" s="650"/>
      <c r="G90" s="64" t="s">
        <v>97</v>
      </c>
      <c r="H90" s="140" t="s">
        <v>97</v>
      </c>
      <c r="I90" s="140" t="s">
        <v>97</v>
      </c>
      <c r="J90" s="140" t="s">
        <v>97</v>
      </c>
      <c r="K90" s="140" t="s">
        <v>97</v>
      </c>
      <c r="L90" s="140" t="s">
        <v>97</v>
      </c>
      <c r="M90" s="140" t="s">
        <v>97</v>
      </c>
      <c r="N90" s="140" t="s">
        <v>97</v>
      </c>
      <c r="O90" s="140" t="s">
        <v>97</v>
      </c>
      <c r="P90" s="140" t="s">
        <v>97</v>
      </c>
      <c r="Q90" s="140" t="s">
        <v>97</v>
      </c>
      <c r="R90" s="140" t="s">
        <v>97</v>
      </c>
      <c r="S90" s="140" t="s">
        <v>97</v>
      </c>
      <c r="T90" s="140" t="s">
        <v>97</v>
      </c>
      <c r="U90" s="140" t="s">
        <v>97</v>
      </c>
      <c r="V90" s="140" t="s">
        <v>97</v>
      </c>
      <c r="W90" s="140" t="s">
        <v>97</v>
      </c>
      <c r="X90" s="140" t="s">
        <v>97</v>
      </c>
      <c r="Y90" s="140" t="s">
        <v>97</v>
      </c>
      <c r="Z90" s="140" t="s">
        <v>97</v>
      </c>
      <c r="AA90" s="140" t="s">
        <v>97</v>
      </c>
      <c r="AB90" s="140" t="s">
        <v>97</v>
      </c>
      <c r="AC90" s="140" t="s">
        <v>97</v>
      </c>
      <c r="AD90" s="140" t="s">
        <v>97</v>
      </c>
      <c r="AE90" s="140" t="s">
        <v>97</v>
      </c>
      <c r="AF90" s="140" t="s">
        <v>97</v>
      </c>
      <c r="AG90" s="140" t="s">
        <v>97</v>
      </c>
      <c r="AH90" s="140" t="s">
        <v>97</v>
      </c>
      <c r="AI90" s="140" t="s">
        <v>97</v>
      </c>
      <c r="AJ90" s="140" t="s">
        <v>97</v>
      </c>
      <c r="AK90" s="140" t="s">
        <v>97</v>
      </c>
      <c r="AL90" s="140" t="s">
        <v>97</v>
      </c>
      <c r="AM90" s="140" t="s">
        <v>97</v>
      </c>
      <c r="AN90" s="140" t="s">
        <v>97</v>
      </c>
      <c r="AO90" s="140" t="s">
        <v>97</v>
      </c>
      <c r="AP90" s="140" t="s">
        <v>97</v>
      </c>
      <c r="AQ90" s="140" t="s">
        <v>97</v>
      </c>
      <c r="AR90" s="140" t="s">
        <v>97</v>
      </c>
      <c r="AS90" s="140" t="s">
        <v>97</v>
      </c>
      <c r="AT90" s="140" t="s">
        <v>97</v>
      </c>
      <c r="AU90" s="140" t="s">
        <v>97</v>
      </c>
      <c r="AV90" s="140" t="s">
        <v>97</v>
      </c>
      <c r="AW90" s="140" t="s">
        <v>97</v>
      </c>
      <c r="AX90" s="140" t="s">
        <v>97</v>
      </c>
      <c r="AY90" s="140" t="s">
        <v>97</v>
      </c>
      <c r="AZ90" s="140" t="s">
        <v>97</v>
      </c>
      <c r="BA90" s="140" t="s">
        <v>97</v>
      </c>
      <c r="BB90" s="140" t="s">
        <v>97</v>
      </c>
      <c r="BC90" s="140" t="s">
        <v>97</v>
      </c>
      <c r="BD90" s="140" t="s">
        <v>97</v>
      </c>
      <c r="BE90" s="140" t="s">
        <v>97</v>
      </c>
      <c r="BF90" s="140" t="s">
        <v>97</v>
      </c>
      <c r="BG90" s="140" t="s">
        <v>97</v>
      </c>
      <c r="BH90" s="140" t="s">
        <v>97</v>
      </c>
      <c r="BI90" s="140" t="s">
        <v>97</v>
      </c>
      <c r="BJ90" s="140" t="s">
        <v>97</v>
      </c>
      <c r="BK90" s="140" t="s">
        <v>97</v>
      </c>
      <c r="BL90" s="140" t="s">
        <v>97</v>
      </c>
      <c r="BM90" s="140" t="s">
        <v>97</v>
      </c>
      <c r="BN90" s="140" t="s">
        <v>97</v>
      </c>
      <c r="BO90" s="140" t="s">
        <v>97</v>
      </c>
      <c r="BP90" s="140" t="s">
        <v>97</v>
      </c>
      <c r="BQ90" s="140" t="s">
        <v>97</v>
      </c>
      <c r="BR90" s="140" t="s">
        <v>97</v>
      </c>
      <c r="BS90" s="140" t="s">
        <v>97</v>
      </c>
      <c r="BT90" s="140" t="s">
        <v>97</v>
      </c>
      <c r="BU90" s="140" t="s">
        <v>97</v>
      </c>
      <c r="BV90" s="140" t="s">
        <v>97</v>
      </c>
      <c r="BW90" s="140" t="s">
        <v>97</v>
      </c>
      <c r="BX90" s="140" t="s">
        <v>97</v>
      </c>
      <c r="BY90" s="140" t="s">
        <v>97</v>
      </c>
      <c r="BZ90" s="140" t="s">
        <v>97</v>
      </c>
      <c r="CA90" s="140" t="s">
        <v>97</v>
      </c>
      <c r="CB90" s="140" t="s">
        <v>97</v>
      </c>
      <c r="CC90" s="140" t="s">
        <v>97</v>
      </c>
      <c r="CD90" s="140" t="s">
        <v>97</v>
      </c>
      <c r="CE90" s="140" t="s">
        <v>97</v>
      </c>
      <c r="CF90" s="140" t="s">
        <v>97</v>
      </c>
      <c r="CG90" s="140" t="s">
        <v>97</v>
      </c>
      <c r="CH90" s="140" t="s">
        <v>97</v>
      </c>
      <c r="CI90" s="140" t="s">
        <v>97</v>
      </c>
      <c r="CJ90" s="140" t="s">
        <v>97</v>
      </c>
      <c r="CK90" s="140" t="s">
        <v>97</v>
      </c>
      <c r="CL90" s="140" t="s">
        <v>97</v>
      </c>
      <c r="CM90" s="140" t="s">
        <v>97</v>
      </c>
      <c r="CN90" s="140" t="s">
        <v>97</v>
      </c>
      <c r="CO90" s="140" t="s">
        <v>97</v>
      </c>
      <c r="CP90" s="140" t="s">
        <v>97</v>
      </c>
      <c r="CQ90" s="140" t="s">
        <v>97</v>
      </c>
      <c r="CR90" s="140" t="s">
        <v>97</v>
      </c>
      <c r="CS90" s="140" t="s">
        <v>97</v>
      </c>
      <c r="CT90" s="140" t="s">
        <v>97</v>
      </c>
      <c r="CU90" s="140" t="s">
        <v>97</v>
      </c>
      <c r="CV90" s="140" t="s">
        <v>97</v>
      </c>
      <c r="CW90" s="140" t="s">
        <v>97</v>
      </c>
      <c r="CX90" s="140" t="s">
        <v>97</v>
      </c>
      <c r="CY90" s="140" t="s">
        <v>97</v>
      </c>
      <c r="CZ90" s="140" t="s">
        <v>97</v>
      </c>
      <c r="DA90" s="140" t="s">
        <v>97</v>
      </c>
      <c r="DB90" s="140" t="s">
        <v>97</v>
      </c>
      <c r="DC90" s="140" t="s">
        <v>97</v>
      </c>
      <c r="DD90" s="140" t="s">
        <v>97</v>
      </c>
      <c r="DE90" s="113" t="s">
        <v>97</v>
      </c>
      <c r="DF90" s="113" t="s">
        <v>97</v>
      </c>
      <c r="DG90" s="113" t="s">
        <v>97</v>
      </c>
      <c r="DH90" s="113" t="s">
        <v>97</v>
      </c>
      <c r="DI90" s="113" t="s">
        <v>97</v>
      </c>
      <c r="DJ90" s="113" t="s">
        <v>97</v>
      </c>
      <c r="DK90" s="113" t="s">
        <v>97</v>
      </c>
      <c r="DL90" s="113" t="s">
        <v>97</v>
      </c>
      <c r="DM90" s="113" t="s">
        <v>97</v>
      </c>
      <c r="DN90" s="113" t="s">
        <v>97</v>
      </c>
      <c r="DO90" s="113" t="s">
        <v>97</v>
      </c>
      <c r="DP90" s="114" t="s">
        <v>97</v>
      </c>
      <c r="DW90" s="205" t="s">
        <v>97</v>
      </c>
      <c r="DX90" s="114" t="s">
        <v>97</v>
      </c>
      <c r="DY90" s="114" t="s">
        <v>97</v>
      </c>
      <c r="DZ90" s="114" t="s">
        <v>97</v>
      </c>
    </row>
    <row r="91" spans="1:130" s="186" customFormat="1" ht="15.75" outlineLevel="2" thickBot="1">
      <c r="A91" s="659"/>
      <c r="B91" s="87" t="str">
        <f t="shared" si="13"/>
        <v xml:space="preserve"> </v>
      </c>
      <c r="C91" s="87" t="str">
        <f t="shared" si="10"/>
        <v xml:space="preserve"> </v>
      </c>
      <c r="D91" s="87" t="str">
        <f t="shared" si="11"/>
        <v xml:space="preserve"> </v>
      </c>
      <c r="E91" s="179" t="str">
        <f t="shared" si="12"/>
        <v xml:space="preserve"> </v>
      </c>
      <c r="F91" s="651"/>
      <c r="G91" s="91" t="s">
        <v>97</v>
      </c>
      <c r="H91" s="143" t="s">
        <v>97</v>
      </c>
      <c r="I91" s="143" t="s">
        <v>97</v>
      </c>
      <c r="J91" s="143" t="s">
        <v>97</v>
      </c>
      <c r="K91" s="143" t="s">
        <v>97</v>
      </c>
      <c r="L91" s="143" t="s">
        <v>97</v>
      </c>
      <c r="M91" s="143" t="s">
        <v>97</v>
      </c>
      <c r="N91" s="143" t="s">
        <v>97</v>
      </c>
      <c r="O91" s="143" t="s">
        <v>97</v>
      </c>
      <c r="P91" s="143" t="s">
        <v>97</v>
      </c>
      <c r="Q91" s="143" t="s">
        <v>97</v>
      </c>
      <c r="R91" s="143" t="s">
        <v>97</v>
      </c>
      <c r="S91" s="143" t="s">
        <v>97</v>
      </c>
      <c r="T91" s="143" t="s">
        <v>97</v>
      </c>
      <c r="U91" s="143" t="s">
        <v>97</v>
      </c>
      <c r="V91" s="143" t="s">
        <v>97</v>
      </c>
      <c r="W91" s="143" t="s">
        <v>97</v>
      </c>
      <c r="X91" s="143" t="s">
        <v>97</v>
      </c>
      <c r="Y91" s="143" t="s">
        <v>97</v>
      </c>
      <c r="Z91" s="143" t="s">
        <v>97</v>
      </c>
      <c r="AA91" s="143" t="s">
        <v>97</v>
      </c>
      <c r="AB91" s="143" t="s">
        <v>97</v>
      </c>
      <c r="AC91" s="143" t="s">
        <v>97</v>
      </c>
      <c r="AD91" s="143" t="s">
        <v>97</v>
      </c>
      <c r="AE91" s="143" t="s">
        <v>97</v>
      </c>
      <c r="AF91" s="143" t="s">
        <v>97</v>
      </c>
      <c r="AG91" s="143" t="s">
        <v>97</v>
      </c>
      <c r="AH91" s="143" t="s">
        <v>97</v>
      </c>
      <c r="AI91" s="143" t="s">
        <v>97</v>
      </c>
      <c r="AJ91" s="143" t="s">
        <v>97</v>
      </c>
      <c r="AK91" s="143" t="s">
        <v>97</v>
      </c>
      <c r="AL91" s="143" t="s">
        <v>97</v>
      </c>
      <c r="AM91" s="143" t="s">
        <v>97</v>
      </c>
      <c r="AN91" s="143" t="s">
        <v>97</v>
      </c>
      <c r="AO91" s="143" t="s">
        <v>97</v>
      </c>
      <c r="AP91" s="143" t="s">
        <v>97</v>
      </c>
      <c r="AQ91" s="143" t="s">
        <v>97</v>
      </c>
      <c r="AR91" s="143" t="s">
        <v>97</v>
      </c>
      <c r="AS91" s="143" t="s">
        <v>97</v>
      </c>
      <c r="AT91" s="143" t="s">
        <v>97</v>
      </c>
      <c r="AU91" s="143" t="s">
        <v>97</v>
      </c>
      <c r="AV91" s="143" t="s">
        <v>97</v>
      </c>
      <c r="AW91" s="143" t="s">
        <v>97</v>
      </c>
      <c r="AX91" s="143" t="s">
        <v>97</v>
      </c>
      <c r="AY91" s="143" t="s">
        <v>97</v>
      </c>
      <c r="AZ91" s="143" t="s">
        <v>97</v>
      </c>
      <c r="BA91" s="143" t="s">
        <v>97</v>
      </c>
      <c r="BB91" s="143" t="s">
        <v>97</v>
      </c>
      <c r="BC91" s="143" t="s">
        <v>97</v>
      </c>
      <c r="BD91" s="143" t="s">
        <v>97</v>
      </c>
      <c r="BE91" s="143" t="s">
        <v>97</v>
      </c>
      <c r="BF91" s="143" t="s">
        <v>97</v>
      </c>
      <c r="BG91" s="143" t="s">
        <v>97</v>
      </c>
      <c r="BH91" s="143" t="s">
        <v>97</v>
      </c>
      <c r="BI91" s="143" t="s">
        <v>97</v>
      </c>
      <c r="BJ91" s="143" t="s">
        <v>97</v>
      </c>
      <c r="BK91" s="143" t="s">
        <v>97</v>
      </c>
      <c r="BL91" s="143" t="s">
        <v>97</v>
      </c>
      <c r="BM91" s="143" t="s">
        <v>97</v>
      </c>
      <c r="BN91" s="143" t="s">
        <v>97</v>
      </c>
      <c r="BO91" s="143" t="s">
        <v>97</v>
      </c>
      <c r="BP91" s="143" t="s">
        <v>97</v>
      </c>
      <c r="BQ91" s="143" t="s">
        <v>97</v>
      </c>
      <c r="BR91" s="143" t="s">
        <v>97</v>
      </c>
      <c r="BS91" s="143" t="s">
        <v>97</v>
      </c>
      <c r="BT91" s="143" t="s">
        <v>97</v>
      </c>
      <c r="BU91" s="143" t="s">
        <v>97</v>
      </c>
      <c r="BV91" s="143" t="s">
        <v>97</v>
      </c>
      <c r="BW91" s="143" t="s">
        <v>97</v>
      </c>
      <c r="BX91" s="143" t="s">
        <v>97</v>
      </c>
      <c r="BY91" s="143" t="s">
        <v>97</v>
      </c>
      <c r="BZ91" s="143" t="s">
        <v>97</v>
      </c>
      <c r="CA91" s="143" t="s">
        <v>97</v>
      </c>
      <c r="CB91" s="143" t="s">
        <v>97</v>
      </c>
      <c r="CC91" s="143" t="s">
        <v>97</v>
      </c>
      <c r="CD91" s="143" t="s">
        <v>97</v>
      </c>
      <c r="CE91" s="143" t="s">
        <v>97</v>
      </c>
      <c r="CF91" s="143" t="s">
        <v>97</v>
      </c>
      <c r="CG91" s="143" t="s">
        <v>97</v>
      </c>
      <c r="CH91" s="143" t="s">
        <v>97</v>
      </c>
      <c r="CI91" s="143" t="s">
        <v>97</v>
      </c>
      <c r="CJ91" s="143" t="s">
        <v>97</v>
      </c>
      <c r="CK91" s="143" t="s">
        <v>97</v>
      </c>
      <c r="CL91" s="143" t="s">
        <v>97</v>
      </c>
      <c r="CM91" s="143" t="s">
        <v>97</v>
      </c>
      <c r="CN91" s="143" t="s">
        <v>97</v>
      </c>
      <c r="CO91" s="143" t="s">
        <v>97</v>
      </c>
      <c r="CP91" s="143" t="s">
        <v>97</v>
      </c>
      <c r="CQ91" s="143" t="s">
        <v>97</v>
      </c>
      <c r="CR91" s="143" t="s">
        <v>97</v>
      </c>
      <c r="CS91" s="143" t="s">
        <v>97</v>
      </c>
      <c r="CT91" s="143" t="s">
        <v>97</v>
      </c>
      <c r="CU91" s="143" t="s">
        <v>97</v>
      </c>
      <c r="CV91" s="143" t="s">
        <v>97</v>
      </c>
      <c r="CW91" s="143" t="s">
        <v>97</v>
      </c>
      <c r="CX91" s="143" t="s">
        <v>97</v>
      </c>
      <c r="CY91" s="143" t="s">
        <v>97</v>
      </c>
      <c r="CZ91" s="143" t="s">
        <v>97</v>
      </c>
      <c r="DA91" s="143" t="s">
        <v>97</v>
      </c>
      <c r="DB91" s="143" t="s">
        <v>97</v>
      </c>
      <c r="DC91" s="143" t="s">
        <v>97</v>
      </c>
      <c r="DD91" s="143" t="s">
        <v>97</v>
      </c>
      <c r="DE91" s="115" t="s">
        <v>97</v>
      </c>
      <c r="DF91" s="115" t="s">
        <v>97</v>
      </c>
      <c r="DG91" s="115" t="s">
        <v>97</v>
      </c>
      <c r="DH91" s="115" t="s">
        <v>97</v>
      </c>
      <c r="DI91" s="115" t="s">
        <v>97</v>
      </c>
      <c r="DJ91" s="115" t="s">
        <v>97</v>
      </c>
      <c r="DK91" s="115" t="s">
        <v>97</v>
      </c>
      <c r="DL91" s="115" t="s">
        <v>97</v>
      </c>
      <c r="DM91" s="115" t="s">
        <v>97</v>
      </c>
      <c r="DN91" s="115" t="s">
        <v>97</v>
      </c>
      <c r="DO91" s="115" t="s">
        <v>97</v>
      </c>
      <c r="DP91" s="116" t="s">
        <v>97</v>
      </c>
      <c r="DW91" s="206" t="s">
        <v>97</v>
      </c>
      <c r="DX91" s="116" t="s">
        <v>97</v>
      </c>
      <c r="DY91" s="116" t="s">
        <v>97</v>
      </c>
      <c r="DZ91" s="116" t="s">
        <v>97</v>
      </c>
    </row>
    <row r="92" spans="1:130" s="184" customFormat="1" outlineLevel="1">
      <c r="A92" s="635" t="s">
        <v>612</v>
      </c>
      <c r="B92" s="86" t="str">
        <f t="shared" si="13"/>
        <v xml:space="preserve"> </v>
      </c>
      <c r="C92" s="86" t="str">
        <f t="shared" si="10"/>
        <v>contrebandier</v>
      </c>
      <c r="D92" s="86" t="str">
        <f t="shared" si="11"/>
        <v>écuyer</v>
      </c>
      <c r="E92" s="86" t="str">
        <f t="shared" si="12"/>
        <v>contrebandier</v>
      </c>
      <c r="F92" s="635" t="s">
        <v>612</v>
      </c>
      <c r="G92" s="161" t="s">
        <v>97</v>
      </c>
      <c r="H92" s="88" t="s">
        <v>408</v>
      </c>
      <c r="I92" s="141" t="s">
        <v>413</v>
      </c>
      <c r="J92" s="141" t="s">
        <v>404</v>
      </c>
      <c r="K92" s="141" t="s">
        <v>36</v>
      </c>
      <c r="L92" s="141" t="s">
        <v>406</v>
      </c>
      <c r="M92" s="141" t="s">
        <v>23</v>
      </c>
      <c r="N92" s="141" t="s">
        <v>17</v>
      </c>
      <c r="O92" s="141" t="s">
        <v>809</v>
      </c>
      <c r="P92" s="141" t="s">
        <v>408</v>
      </c>
      <c r="Q92" s="141" t="s">
        <v>32</v>
      </c>
      <c r="R92" s="141" t="s">
        <v>43</v>
      </c>
      <c r="S92" s="141" t="s">
        <v>17</v>
      </c>
      <c r="T92" s="141" t="s">
        <v>430</v>
      </c>
      <c r="U92" s="141" t="s">
        <v>27</v>
      </c>
      <c r="V92" s="141" t="s">
        <v>17</v>
      </c>
      <c r="W92" s="141" t="s">
        <v>399</v>
      </c>
      <c r="X92" s="141" t="s">
        <v>400</v>
      </c>
      <c r="Y92" s="141" t="s">
        <v>400</v>
      </c>
      <c r="Z92" s="141" t="s">
        <v>452</v>
      </c>
      <c r="AA92" s="141" t="s">
        <v>415</v>
      </c>
      <c r="AB92" s="141" t="s">
        <v>25</v>
      </c>
      <c r="AC92" s="141" t="s">
        <v>409</v>
      </c>
      <c r="AD92" s="141" t="s">
        <v>411</v>
      </c>
      <c r="AE92" s="141" t="s">
        <v>400</v>
      </c>
      <c r="AF92" s="141" t="s">
        <v>399</v>
      </c>
      <c r="AG92" s="141" t="s">
        <v>399</v>
      </c>
      <c r="AH92" s="141" t="s">
        <v>32</v>
      </c>
      <c r="AI92" s="141" t="s">
        <v>19</v>
      </c>
      <c r="AJ92" s="141" t="s">
        <v>402</v>
      </c>
      <c r="AK92" s="141" t="s">
        <v>402</v>
      </c>
      <c r="AL92" s="141" t="s">
        <v>32</v>
      </c>
      <c r="AM92" s="141" t="s">
        <v>408</v>
      </c>
      <c r="AN92" s="141" t="s">
        <v>21</v>
      </c>
      <c r="AO92" s="141" t="s">
        <v>403</v>
      </c>
      <c r="AP92" s="141" t="s">
        <v>399</v>
      </c>
      <c r="AQ92" s="141" t="s">
        <v>451</v>
      </c>
      <c r="AR92" s="141" t="s">
        <v>402</v>
      </c>
      <c r="AS92" s="141" t="s">
        <v>400</v>
      </c>
      <c r="AT92" s="141" t="s">
        <v>402</v>
      </c>
      <c r="AU92" s="141" t="s">
        <v>411</v>
      </c>
      <c r="AV92" s="141" t="s">
        <v>408</v>
      </c>
      <c r="AW92" s="141" t="s">
        <v>18</v>
      </c>
      <c r="AX92" s="141" t="s">
        <v>20</v>
      </c>
      <c r="AY92" s="141" t="s">
        <v>400</v>
      </c>
      <c r="AZ92" s="141" t="s">
        <v>17</v>
      </c>
      <c r="BA92" s="141" t="s">
        <v>404</v>
      </c>
      <c r="BB92" s="141" t="s">
        <v>17</v>
      </c>
      <c r="BC92" s="141" t="s">
        <v>403</v>
      </c>
      <c r="BD92" s="141" t="s">
        <v>400</v>
      </c>
      <c r="BE92" s="141" t="s">
        <v>19</v>
      </c>
      <c r="BF92" s="141" t="s">
        <v>403</v>
      </c>
      <c r="BG92" s="141" t="s">
        <v>27</v>
      </c>
      <c r="BH92" s="141" t="s">
        <v>403</v>
      </c>
      <c r="BI92" s="141" t="s">
        <v>26</v>
      </c>
      <c r="BJ92" s="141" t="s">
        <v>417</v>
      </c>
      <c r="BK92" s="141" t="s">
        <v>17</v>
      </c>
      <c r="BL92" s="141" t="s">
        <v>402</v>
      </c>
      <c r="BM92" s="141" t="s">
        <v>32</v>
      </c>
      <c r="BN92" s="141" t="s">
        <v>28</v>
      </c>
      <c r="BO92" s="141" t="s">
        <v>451</v>
      </c>
      <c r="BP92" s="141" t="s">
        <v>26</v>
      </c>
      <c r="BQ92" s="141" t="s">
        <v>451</v>
      </c>
      <c r="BR92" s="141" t="s">
        <v>417</v>
      </c>
      <c r="BS92" s="141" t="s">
        <v>415</v>
      </c>
      <c r="BT92" s="141" t="s">
        <v>418</v>
      </c>
      <c r="BU92" s="141" t="s">
        <v>32</v>
      </c>
      <c r="BV92" s="141" t="s">
        <v>32</v>
      </c>
      <c r="BW92" s="141" t="s">
        <v>417</v>
      </c>
      <c r="BX92" s="141" t="s">
        <v>402</v>
      </c>
      <c r="BY92" s="141" t="s">
        <v>19</v>
      </c>
      <c r="BZ92" s="141" t="s">
        <v>26</v>
      </c>
      <c r="CA92" s="141" t="s">
        <v>29</v>
      </c>
      <c r="CB92" s="141" t="s">
        <v>44</v>
      </c>
      <c r="CC92" s="141" t="s">
        <v>25</v>
      </c>
      <c r="CD92" s="141" t="s">
        <v>415</v>
      </c>
      <c r="CE92" s="141" t="s">
        <v>451</v>
      </c>
      <c r="CF92" s="141" t="s">
        <v>405</v>
      </c>
      <c r="CG92" s="141" t="s">
        <v>414</v>
      </c>
      <c r="CH92" s="141" t="s">
        <v>405</v>
      </c>
      <c r="CI92" s="141" t="s">
        <v>402</v>
      </c>
      <c r="CJ92" s="141" t="s">
        <v>402</v>
      </c>
      <c r="CK92" s="141" t="s">
        <v>19</v>
      </c>
      <c r="CL92" s="141" t="s">
        <v>429</v>
      </c>
      <c r="CM92" s="141" t="s">
        <v>409</v>
      </c>
      <c r="CN92" s="141" t="s">
        <v>409</v>
      </c>
      <c r="CO92" s="141" t="s">
        <v>411</v>
      </c>
      <c r="CP92" s="141" t="s">
        <v>399</v>
      </c>
      <c r="CQ92" s="141" t="s">
        <v>31</v>
      </c>
      <c r="CR92" s="141" t="s">
        <v>417</v>
      </c>
      <c r="CS92" s="141" t="s">
        <v>415</v>
      </c>
      <c r="CT92" s="141" t="s">
        <v>451</v>
      </c>
      <c r="CU92" s="141" t="s">
        <v>410</v>
      </c>
      <c r="CV92" s="141" t="s">
        <v>829</v>
      </c>
      <c r="CW92" s="141" t="s">
        <v>451</v>
      </c>
      <c r="CX92" s="141" t="s">
        <v>30</v>
      </c>
      <c r="CY92" s="141" t="s">
        <v>404</v>
      </c>
      <c r="CZ92" s="141" t="s">
        <v>404</v>
      </c>
      <c r="DA92" s="141" t="s">
        <v>17</v>
      </c>
      <c r="DB92" s="141" t="s">
        <v>428</v>
      </c>
      <c r="DC92" s="141" t="s">
        <v>26</v>
      </c>
      <c r="DD92" s="141" t="s">
        <v>404</v>
      </c>
      <c r="DE92" s="117" t="s">
        <v>17</v>
      </c>
      <c r="DF92" s="117" t="s">
        <v>831</v>
      </c>
      <c r="DG92" s="117" t="s">
        <v>18</v>
      </c>
      <c r="DH92" s="117" t="s">
        <v>33</v>
      </c>
      <c r="DI92" s="117" t="s">
        <v>832</v>
      </c>
      <c r="DJ92" s="117" t="s">
        <v>97</v>
      </c>
      <c r="DK92" s="117" t="s">
        <v>448</v>
      </c>
      <c r="DL92" s="117" t="s">
        <v>449</v>
      </c>
      <c r="DM92" s="117" t="s">
        <v>20</v>
      </c>
      <c r="DN92" s="117" t="s">
        <v>35</v>
      </c>
      <c r="DO92" s="117" t="s">
        <v>406</v>
      </c>
      <c r="DP92" s="118" t="s">
        <v>20</v>
      </c>
      <c r="DW92" s="204" t="s">
        <v>97</v>
      </c>
      <c r="DX92" s="204" t="s">
        <v>97</v>
      </c>
      <c r="DY92" s="204" t="s">
        <v>97</v>
      </c>
      <c r="DZ92" s="204" t="s">
        <v>97</v>
      </c>
    </row>
    <row r="93" spans="1:130" s="185" customFormat="1" outlineLevel="1">
      <c r="A93" s="636"/>
      <c r="B93" s="57" t="str">
        <f t="shared" si="13"/>
        <v xml:space="preserve"> </v>
      </c>
      <c r="C93" s="57" t="str">
        <f t="shared" si="10"/>
        <v>escroc</v>
      </c>
      <c r="D93" s="57" t="str">
        <f t="shared" si="11"/>
        <v>escroc</v>
      </c>
      <c r="E93" s="57" t="str">
        <f t="shared" si="12"/>
        <v>mercanti</v>
      </c>
      <c r="F93" s="636"/>
      <c r="G93" s="134" t="s">
        <v>97</v>
      </c>
      <c r="H93" s="89" t="s">
        <v>415</v>
      </c>
      <c r="I93" s="142" t="s">
        <v>417</v>
      </c>
      <c r="J93" s="142" t="s">
        <v>405</v>
      </c>
      <c r="K93" s="142" t="s">
        <v>38</v>
      </c>
      <c r="L93" s="142" t="s">
        <v>809</v>
      </c>
      <c r="M93" s="142" t="s">
        <v>32</v>
      </c>
      <c r="N93" s="142" t="s">
        <v>809</v>
      </c>
      <c r="O93" s="142" t="s">
        <v>415</v>
      </c>
      <c r="P93" s="142" t="s">
        <v>37</v>
      </c>
      <c r="Q93" s="142" t="s">
        <v>47</v>
      </c>
      <c r="R93" s="142" t="s">
        <v>47</v>
      </c>
      <c r="S93" s="142" t="s">
        <v>19</v>
      </c>
      <c r="T93" s="142" t="s">
        <v>442</v>
      </c>
      <c r="U93" s="142" t="s">
        <v>44</v>
      </c>
      <c r="V93" s="142" t="s">
        <v>809</v>
      </c>
      <c r="W93" s="142" t="s">
        <v>417</v>
      </c>
      <c r="X93" s="142" t="s">
        <v>436</v>
      </c>
      <c r="Y93" s="142" t="s">
        <v>406</v>
      </c>
      <c r="Z93" s="142" t="s">
        <v>27</v>
      </c>
      <c r="AA93" s="142" t="s">
        <v>418</v>
      </c>
      <c r="AB93" s="142" t="s">
        <v>26</v>
      </c>
      <c r="AC93" s="142" t="s">
        <v>421</v>
      </c>
      <c r="AD93" s="142" t="s">
        <v>415</v>
      </c>
      <c r="AE93" s="142" t="s">
        <v>451</v>
      </c>
      <c r="AF93" s="142" t="s">
        <v>404</v>
      </c>
      <c r="AG93" s="142" t="s">
        <v>404</v>
      </c>
      <c r="AH93" s="142" t="s">
        <v>49</v>
      </c>
      <c r="AI93" s="142" t="s">
        <v>403</v>
      </c>
      <c r="AJ93" s="142" t="s">
        <v>30</v>
      </c>
      <c r="AK93" s="142" t="s">
        <v>44</v>
      </c>
      <c r="AL93" s="142" t="s">
        <v>43</v>
      </c>
      <c r="AM93" s="142" t="s">
        <v>417</v>
      </c>
      <c r="AN93" s="142" t="s">
        <v>408</v>
      </c>
      <c r="AO93" s="142" t="s">
        <v>40</v>
      </c>
      <c r="AP93" s="142" t="s">
        <v>408</v>
      </c>
      <c r="AQ93" s="142" t="s">
        <v>809</v>
      </c>
      <c r="AR93" s="142" t="s">
        <v>416</v>
      </c>
      <c r="AS93" s="142" t="s">
        <v>402</v>
      </c>
      <c r="AT93" s="142" t="s">
        <v>29</v>
      </c>
      <c r="AU93" s="142" t="s">
        <v>44</v>
      </c>
      <c r="AV93" s="142" t="s">
        <v>37</v>
      </c>
      <c r="AW93" s="142" t="s">
        <v>419</v>
      </c>
      <c r="AX93" s="142" t="s">
        <v>408</v>
      </c>
      <c r="AY93" s="142" t="s">
        <v>419</v>
      </c>
      <c r="AZ93" s="142" t="s">
        <v>18</v>
      </c>
      <c r="BA93" s="142" t="s">
        <v>405</v>
      </c>
      <c r="BB93" s="142" t="s">
        <v>420</v>
      </c>
      <c r="BC93" s="142" t="s">
        <v>415</v>
      </c>
      <c r="BD93" s="142" t="s">
        <v>406</v>
      </c>
      <c r="BE93" s="142" t="s">
        <v>50</v>
      </c>
      <c r="BF93" s="142" t="s">
        <v>26</v>
      </c>
      <c r="BG93" s="142" t="s">
        <v>831</v>
      </c>
      <c r="BH93" s="142" t="s">
        <v>39</v>
      </c>
      <c r="BI93" s="142" t="s">
        <v>50</v>
      </c>
      <c r="BJ93" s="142" t="s">
        <v>438</v>
      </c>
      <c r="BK93" s="142" t="s">
        <v>20</v>
      </c>
      <c r="BL93" s="142" t="s">
        <v>415</v>
      </c>
      <c r="BM93" s="142" t="s">
        <v>419</v>
      </c>
      <c r="BN93" s="142" t="s">
        <v>415</v>
      </c>
      <c r="BO93" s="142" t="s">
        <v>429</v>
      </c>
      <c r="BP93" s="142" t="s">
        <v>31</v>
      </c>
      <c r="BQ93" s="142" t="s">
        <v>438</v>
      </c>
      <c r="BR93" s="142" t="s">
        <v>419</v>
      </c>
      <c r="BS93" s="142" t="s">
        <v>424</v>
      </c>
      <c r="BT93" s="142" t="s">
        <v>427</v>
      </c>
      <c r="BU93" s="142" t="s">
        <v>37</v>
      </c>
      <c r="BV93" s="142" t="s">
        <v>33</v>
      </c>
      <c r="BW93" s="142" t="s">
        <v>418</v>
      </c>
      <c r="BX93" s="142" t="s">
        <v>408</v>
      </c>
      <c r="BY93" s="142" t="s">
        <v>25</v>
      </c>
      <c r="BZ93" s="142" t="s">
        <v>31</v>
      </c>
      <c r="CA93" s="142" t="s">
        <v>831</v>
      </c>
      <c r="CB93" s="142" t="s">
        <v>426</v>
      </c>
      <c r="CC93" s="142" t="s">
        <v>31</v>
      </c>
      <c r="CD93" s="142" t="s">
        <v>417</v>
      </c>
      <c r="CE93" s="142" t="s">
        <v>441</v>
      </c>
      <c r="CF93" s="142" t="s">
        <v>417</v>
      </c>
      <c r="CG93" s="142" t="s">
        <v>35</v>
      </c>
      <c r="CH93" s="142" t="s">
        <v>419</v>
      </c>
      <c r="CI93" s="142" t="s">
        <v>21</v>
      </c>
      <c r="CJ93" s="142" t="s">
        <v>30</v>
      </c>
      <c r="CK93" s="142" t="s">
        <v>25</v>
      </c>
      <c r="CL93" s="142" t="s">
        <v>47</v>
      </c>
      <c r="CM93" s="142" t="s">
        <v>31</v>
      </c>
      <c r="CN93" s="142" t="s">
        <v>809</v>
      </c>
      <c r="CO93" s="142" t="s">
        <v>414</v>
      </c>
      <c r="CP93" s="142" t="s">
        <v>451</v>
      </c>
      <c r="CQ93" s="142" t="s">
        <v>58</v>
      </c>
      <c r="CR93" s="142" t="s">
        <v>420</v>
      </c>
      <c r="CS93" s="142" t="s">
        <v>417</v>
      </c>
      <c r="CT93" s="142" t="s">
        <v>410</v>
      </c>
      <c r="CU93" s="142" t="s">
        <v>438</v>
      </c>
      <c r="CV93" s="142" t="s">
        <v>31</v>
      </c>
      <c r="CW93" s="142" t="s">
        <v>408</v>
      </c>
      <c r="CX93" s="142" t="s">
        <v>32</v>
      </c>
      <c r="CY93" s="142" t="s">
        <v>406</v>
      </c>
      <c r="CZ93" s="142" t="s">
        <v>409</v>
      </c>
      <c r="DA93" s="142" t="s">
        <v>18</v>
      </c>
      <c r="DB93" s="142" t="s">
        <v>97</v>
      </c>
      <c r="DC93" s="142" t="s">
        <v>409</v>
      </c>
      <c r="DD93" s="142" t="s">
        <v>407</v>
      </c>
      <c r="DE93" s="119" t="s">
        <v>401</v>
      </c>
      <c r="DF93" s="119" t="s">
        <v>39</v>
      </c>
      <c r="DG93" s="119" t="s">
        <v>408</v>
      </c>
      <c r="DH93" s="119" t="s">
        <v>416</v>
      </c>
      <c r="DI93" s="119" t="s">
        <v>433</v>
      </c>
      <c r="DJ93" s="119" t="s">
        <v>97</v>
      </c>
      <c r="DK93" s="119" t="s">
        <v>97</v>
      </c>
      <c r="DL93" s="119" t="s">
        <v>97</v>
      </c>
      <c r="DM93" s="119" t="s">
        <v>24</v>
      </c>
      <c r="DN93" s="119" t="s">
        <v>37</v>
      </c>
      <c r="DO93" s="119" t="s">
        <v>407</v>
      </c>
      <c r="DP93" s="120" t="s">
        <v>408</v>
      </c>
      <c r="DW93" s="114" t="s">
        <v>97</v>
      </c>
      <c r="DX93" s="114" t="s">
        <v>97</v>
      </c>
      <c r="DY93" s="114" t="s">
        <v>97</v>
      </c>
      <c r="DZ93" s="114" t="s">
        <v>97</v>
      </c>
    </row>
    <row r="94" spans="1:130" s="185" customFormat="1" outlineLevel="1">
      <c r="A94" s="636"/>
      <c r="B94" s="57" t="str">
        <f t="shared" si="13"/>
        <v xml:space="preserve"> </v>
      </c>
      <c r="C94" s="57" t="str">
        <f t="shared" si="10"/>
        <v>matelot</v>
      </c>
      <c r="D94" s="57" t="str">
        <f t="shared" si="11"/>
        <v>étudiant</v>
      </c>
      <c r="E94" s="57" t="str">
        <f t="shared" si="12"/>
        <v>Monte-en-l'air</v>
      </c>
      <c r="F94" s="636"/>
      <c r="G94" s="134" t="s">
        <v>97</v>
      </c>
      <c r="H94" s="89" t="s">
        <v>37</v>
      </c>
      <c r="I94" s="142" t="s">
        <v>62</v>
      </c>
      <c r="J94" s="142" t="s">
        <v>411</v>
      </c>
      <c r="K94" s="142" t="s">
        <v>424</v>
      </c>
      <c r="L94" s="142" t="s">
        <v>37</v>
      </c>
      <c r="M94" s="142" t="s">
        <v>44</v>
      </c>
      <c r="N94" s="142" t="s">
        <v>416</v>
      </c>
      <c r="O94" s="142" t="s">
        <v>438</v>
      </c>
      <c r="P94" s="142" t="s">
        <v>431</v>
      </c>
      <c r="Q94" s="142" t="s">
        <v>48</v>
      </c>
      <c r="R94" s="142" t="s">
        <v>50</v>
      </c>
      <c r="S94" s="142" t="s">
        <v>401</v>
      </c>
      <c r="T94" s="142" t="s">
        <v>72</v>
      </c>
      <c r="U94" s="142" t="s">
        <v>52</v>
      </c>
      <c r="V94" s="142" t="s">
        <v>419</v>
      </c>
      <c r="W94" s="142" t="s">
        <v>418</v>
      </c>
      <c r="X94" s="142" t="s">
        <v>444</v>
      </c>
      <c r="Y94" s="142" t="s">
        <v>38</v>
      </c>
      <c r="Z94" s="142" t="s">
        <v>53</v>
      </c>
      <c r="AA94" s="142" t="s">
        <v>44</v>
      </c>
      <c r="AB94" s="142" t="s">
        <v>421</v>
      </c>
      <c r="AC94" s="142" t="s">
        <v>50</v>
      </c>
      <c r="AD94" s="142" t="s">
        <v>421</v>
      </c>
      <c r="AE94" s="142" t="s">
        <v>404</v>
      </c>
      <c r="AF94" s="142" t="s">
        <v>409</v>
      </c>
      <c r="AG94" s="142" t="s">
        <v>406</v>
      </c>
      <c r="AH94" s="142" t="s">
        <v>433</v>
      </c>
      <c r="AI94" s="142" t="s">
        <v>430</v>
      </c>
      <c r="AJ94" s="142" t="s">
        <v>32</v>
      </c>
      <c r="AK94" s="142" t="s">
        <v>55</v>
      </c>
      <c r="AL94" s="142" t="s">
        <v>58</v>
      </c>
      <c r="AM94" s="142" t="s">
        <v>428</v>
      </c>
      <c r="AN94" s="142" t="s">
        <v>31</v>
      </c>
      <c r="AO94" s="142" t="s">
        <v>43</v>
      </c>
      <c r="AP94" s="142" t="s">
        <v>416</v>
      </c>
      <c r="AQ94" s="142" t="s">
        <v>50</v>
      </c>
      <c r="AR94" s="142" t="s">
        <v>37</v>
      </c>
      <c r="AS94" s="142" t="s">
        <v>406</v>
      </c>
      <c r="AT94" s="142" t="s">
        <v>50</v>
      </c>
      <c r="AU94" s="142" t="s">
        <v>54</v>
      </c>
      <c r="AV94" s="142" t="s">
        <v>832</v>
      </c>
      <c r="AW94" s="142" t="s">
        <v>425</v>
      </c>
      <c r="AX94" s="142" t="s">
        <v>415</v>
      </c>
      <c r="AY94" s="142" t="s">
        <v>441</v>
      </c>
      <c r="AZ94" s="142" t="s">
        <v>28</v>
      </c>
      <c r="BA94" s="142" t="s">
        <v>418</v>
      </c>
      <c r="BB94" s="142" t="s">
        <v>44</v>
      </c>
      <c r="BC94" s="142" t="s">
        <v>439</v>
      </c>
      <c r="BD94" s="142" t="s">
        <v>416</v>
      </c>
      <c r="BE94" s="142" t="s">
        <v>56</v>
      </c>
      <c r="BF94" s="142" t="s">
        <v>42</v>
      </c>
      <c r="BG94" s="142" t="s">
        <v>436</v>
      </c>
      <c r="BH94" s="142" t="s">
        <v>40</v>
      </c>
      <c r="BI94" s="142" t="s">
        <v>67</v>
      </c>
      <c r="BJ94" s="142" t="s">
        <v>444</v>
      </c>
      <c r="BK94" s="142" t="s">
        <v>414</v>
      </c>
      <c r="BL94" s="142" t="s">
        <v>70</v>
      </c>
      <c r="BM94" s="142" t="s">
        <v>426</v>
      </c>
      <c r="BN94" s="142" t="s">
        <v>38</v>
      </c>
      <c r="BO94" s="142" t="s">
        <v>54</v>
      </c>
      <c r="BP94" s="142" t="s">
        <v>50</v>
      </c>
      <c r="BQ94" s="142" t="s">
        <v>442</v>
      </c>
      <c r="BR94" s="142" t="s">
        <v>446</v>
      </c>
      <c r="BS94" s="142" t="s">
        <v>427</v>
      </c>
      <c r="BT94" s="142" t="s">
        <v>52</v>
      </c>
      <c r="BU94" s="142" t="s">
        <v>48</v>
      </c>
      <c r="BV94" s="142" t="s">
        <v>44</v>
      </c>
      <c r="BW94" s="142" t="s">
        <v>427</v>
      </c>
      <c r="BX94" s="142" t="s">
        <v>415</v>
      </c>
      <c r="BY94" s="142" t="s">
        <v>408</v>
      </c>
      <c r="BZ94" s="142" t="s">
        <v>40</v>
      </c>
      <c r="CA94" s="142" t="s">
        <v>41</v>
      </c>
      <c r="CB94" s="142" t="s">
        <v>51</v>
      </c>
      <c r="CC94" s="142" t="s">
        <v>32</v>
      </c>
      <c r="CD94" s="142" t="s">
        <v>420</v>
      </c>
      <c r="CE94" s="142" t="s">
        <v>442</v>
      </c>
      <c r="CF94" s="142" t="s">
        <v>419</v>
      </c>
      <c r="CG94" s="142" t="s">
        <v>37</v>
      </c>
      <c r="CH94" s="142" t="s">
        <v>429</v>
      </c>
      <c r="CI94" s="142" t="s">
        <v>32</v>
      </c>
      <c r="CJ94" s="142" t="s">
        <v>831</v>
      </c>
      <c r="CK94" s="142" t="s">
        <v>829</v>
      </c>
      <c r="CL94" s="142" t="s">
        <v>48</v>
      </c>
      <c r="CM94" s="142" t="s">
        <v>60</v>
      </c>
      <c r="CN94" s="142" t="s">
        <v>419</v>
      </c>
      <c r="CO94" s="142" t="s">
        <v>416</v>
      </c>
      <c r="CP94" s="142" t="s">
        <v>414</v>
      </c>
      <c r="CQ94" s="142" t="s">
        <v>436</v>
      </c>
      <c r="CR94" s="142" t="s">
        <v>425</v>
      </c>
      <c r="CS94" s="142" t="s">
        <v>420</v>
      </c>
      <c r="CT94" s="142" t="s">
        <v>419</v>
      </c>
      <c r="CU94" s="142" t="s">
        <v>441</v>
      </c>
      <c r="CV94" s="142" t="s">
        <v>42</v>
      </c>
      <c r="CW94" s="142" t="s">
        <v>441</v>
      </c>
      <c r="CX94" s="142" t="s">
        <v>52</v>
      </c>
      <c r="CY94" s="142" t="s">
        <v>412</v>
      </c>
      <c r="CZ94" s="142" t="s">
        <v>410</v>
      </c>
      <c r="DA94" s="142" t="s">
        <v>417</v>
      </c>
      <c r="DB94" s="142" t="s">
        <v>97</v>
      </c>
      <c r="DC94" s="142" t="s">
        <v>50</v>
      </c>
      <c r="DD94" s="142" t="s">
        <v>411</v>
      </c>
      <c r="DE94" s="119" t="s">
        <v>23</v>
      </c>
      <c r="DF94" s="119" t="s">
        <v>50</v>
      </c>
      <c r="DG94" s="119" t="s">
        <v>44</v>
      </c>
      <c r="DH94" s="119" t="s">
        <v>43</v>
      </c>
      <c r="DI94" s="119" t="s">
        <v>60</v>
      </c>
      <c r="DJ94" s="119" t="s">
        <v>97</v>
      </c>
      <c r="DK94" s="119" t="s">
        <v>97</v>
      </c>
      <c r="DL94" s="119" t="s">
        <v>97</v>
      </c>
      <c r="DM94" s="119" t="s">
        <v>829</v>
      </c>
      <c r="DN94" s="119" t="s">
        <v>832</v>
      </c>
      <c r="DO94" s="119" t="s">
        <v>410</v>
      </c>
      <c r="DP94" s="120" t="s">
        <v>37</v>
      </c>
      <c r="DW94" s="114" t="s">
        <v>97</v>
      </c>
      <c r="DX94" s="114" t="s">
        <v>97</v>
      </c>
      <c r="DY94" s="114" t="s">
        <v>97</v>
      </c>
      <c r="DZ94" s="114" t="s">
        <v>97</v>
      </c>
    </row>
    <row r="95" spans="1:130" s="185" customFormat="1" outlineLevel="1">
      <c r="A95" s="636"/>
      <c r="B95" s="57" t="str">
        <f t="shared" si="13"/>
        <v xml:space="preserve"> </v>
      </c>
      <c r="C95" s="57" t="str">
        <f t="shared" si="10"/>
        <v>Navigateur</v>
      </c>
      <c r="D95" s="57" t="str">
        <f t="shared" si="11"/>
        <v>Héraut</v>
      </c>
      <c r="E95" s="57" t="str">
        <f t="shared" si="12"/>
        <v>Receleur</v>
      </c>
      <c r="F95" s="636"/>
      <c r="G95" s="134" t="s">
        <v>97</v>
      </c>
      <c r="H95" s="89" t="s">
        <v>38</v>
      </c>
      <c r="I95" s="142" t="s">
        <v>97</v>
      </c>
      <c r="J95" s="142" t="s">
        <v>417</v>
      </c>
      <c r="K95" s="142" t="s">
        <v>426</v>
      </c>
      <c r="L95" s="142" t="s">
        <v>444</v>
      </c>
      <c r="M95" s="142" t="s">
        <v>429</v>
      </c>
      <c r="N95" s="142" t="s">
        <v>441</v>
      </c>
      <c r="O95" s="142" t="s">
        <v>441</v>
      </c>
      <c r="P95" s="142" t="s">
        <v>70</v>
      </c>
      <c r="Q95" s="142" t="s">
        <v>434</v>
      </c>
      <c r="R95" s="142" t="s">
        <v>447</v>
      </c>
      <c r="S95" s="142" t="s">
        <v>429</v>
      </c>
      <c r="T95" s="142" t="s">
        <v>97</v>
      </c>
      <c r="U95" s="142" t="s">
        <v>436</v>
      </c>
      <c r="V95" s="142" t="s">
        <v>429</v>
      </c>
      <c r="W95" s="142" t="s">
        <v>419</v>
      </c>
      <c r="X95" s="142" t="s">
        <v>447</v>
      </c>
      <c r="Y95" s="142" t="s">
        <v>444</v>
      </c>
      <c r="Z95" s="142" t="s">
        <v>436</v>
      </c>
      <c r="AA95" s="142" t="s">
        <v>433</v>
      </c>
      <c r="AB95" s="142" t="s">
        <v>41</v>
      </c>
      <c r="AC95" s="142" t="s">
        <v>436</v>
      </c>
      <c r="AD95" s="142" t="s">
        <v>45</v>
      </c>
      <c r="AE95" s="142" t="s">
        <v>415</v>
      </c>
      <c r="AF95" s="142" t="s">
        <v>412</v>
      </c>
      <c r="AG95" s="142" t="s">
        <v>444</v>
      </c>
      <c r="AH95" s="142" t="s">
        <v>443</v>
      </c>
      <c r="AI95" s="142" t="s">
        <v>68</v>
      </c>
      <c r="AJ95" s="142" t="s">
        <v>44</v>
      </c>
      <c r="AK95" s="142" t="s">
        <v>438</v>
      </c>
      <c r="AL95" s="142" t="s">
        <v>59</v>
      </c>
      <c r="AM95" s="142" t="s">
        <v>97</v>
      </c>
      <c r="AN95" s="142" t="s">
        <v>47</v>
      </c>
      <c r="AO95" s="142" t="s">
        <v>50</v>
      </c>
      <c r="AP95" s="142" t="s">
        <v>418</v>
      </c>
      <c r="AQ95" s="142" t="s">
        <v>432</v>
      </c>
      <c r="AR95" s="142" t="s">
        <v>40</v>
      </c>
      <c r="AS95" s="142" t="s">
        <v>37</v>
      </c>
      <c r="AT95" s="142" t="s">
        <v>56</v>
      </c>
      <c r="AU95" s="142" t="s">
        <v>447</v>
      </c>
      <c r="AV95" s="142" t="s">
        <v>429</v>
      </c>
      <c r="AW95" s="142" t="s">
        <v>429</v>
      </c>
      <c r="AX95" s="142" t="s">
        <v>44</v>
      </c>
      <c r="AY95" s="142" t="s">
        <v>442</v>
      </c>
      <c r="AZ95" s="142" t="s">
        <v>36</v>
      </c>
      <c r="BA95" s="142" t="s">
        <v>429</v>
      </c>
      <c r="BB95" s="142" t="s">
        <v>45</v>
      </c>
      <c r="BC95" s="142" t="s">
        <v>65</v>
      </c>
      <c r="BD95" s="142" t="s">
        <v>447</v>
      </c>
      <c r="BE95" s="142" t="s">
        <v>442</v>
      </c>
      <c r="BF95" s="142" t="s">
        <v>50</v>
      </c>
      <c r="BG95" s="142" t="s">
        <v>70</v>
      </c>
      <c r="BH95" s="142" t="s">
        <v>60</v>
      </c>
      <c r="BI95" s="142" t="s">
        <v>69</v>
      </c>
      <c r="BJ95" s="142" t="s">
        <v>97</v>
      </c>
      <c r="BK95" s="142" t="s">
        <v>35</v>
      </c>
      <c r="BL95" s="142" t="s">
        <v>450</v>
      </c>
      <c r="BM95" s="142" t="s">
        <v>427</v>
      </c>
      <c r="BN95" s="142" t="s">
        <v>432</v>
      </c>
      <c r="BO95" s="142" t="s">
        <v>443</v>
      </c>
      <c r="BP95" s="142" t="s">
        <v>447</v>
      </c>
      <c r="BQ95" s="142" t="s">
        <v>97</v>
      </c>
      <c r="BR95" s="142" t="s">
        <v>97</v>
      </c>
      <c r="BS95" s="142" t="s">
        <v>429</v>
      </c>
      <c r="BT95" s="142" t="s">
        <v>438</v>
      </c>
      <c r="BU95" s="142" t="s">
        <v>434</v>
      </c>
      <c r="BV95" s="142" t="s">
        <v>435</v>
      </c>
      <c r="BW95" s="142" t="s">
        <v>432</v>
      </c>
      <c r="BX95" s="142" t="s">
        <v>418</v>
      </c>
      <c r="BY95" s="142" t="s">
        <v>32</v>
      </c>
      <c r="BZ95" s="142" t="s">
        <v>44</v>
      </c>
      <c r="CA95" s="142" t="s">
        <v>423</v>
      </c>
      <c r="CB95" s="142" t="s">
        <v>63</v>
      </c>
      <c r="CC95" s="142" t="s">
        <v>424</v>
      </c>
      <c r="CD95" s="142" t="s">
        <v>439</v>
      </c>
      <c r="CE95" s="142" t="s">
        <v>443</v>
      </c>
      <c r="CF95" s="142" t="s">
        <v>426</v>
      </c>
      <c r="CG95" s="142" t="s">
        <v>832</v>
      </c>
      <c r="CH95" s="142" t="s">
        <v>434</v>
      </c>
      <c r="CI95" s="142" t="s">
        <v>47</v>
      </c>
      <c r="CJ95" s="142" t="s">
        <v>44</v>
      </c>
      <c r="CK95" s="142" t="s">
        <v>38</v>
      </c>
      <c r="CL95" s="142" t="s">
        <v>52</v>
      </c>
      <c r="CM95" s="142" t="s">
        <v>443</v>
      </c>
      <c r="CN95" s="142" t="s">
        <v>445</v>
      </c>
      <c r="CO95" s="142" t="s">
        <v>447</v>
      </c>
      <c r="CP95" s="142" t="s">
        <v>415</v>
      </c>
      <c r="CQ95" s="142" t="s">
        <v>60</v>
      </c>
      <c r="CR95" s="142" t="s">
        <v>440</v>
      </c>
      <c r="CS95" s="142" t="s">
        <v>422</v>
      </c>
      <c r="CT95" s="142" t="s">
        <v>421</v>
      </c>
      <c r="CU95" s="142" t="s">
        <v>443</v>
      </c>
      <c r="CV95" s="142" t="s">
        <v>433</v>
      </c>
      <c r="CW95" s="142" t="s">
        <v>442</v>
      </c>
      <c r="CX95" s="142" t="s">
        <v>438</v>
      </c>
      <c r="CY95" s="142" t="s">
        <v>415</v>
      </c>
      <c r="CZ95" s="142" t="s">
        <v>421</v>
      </c>
      <c r="DA95" s="142" t="s">
        <v>45</v>
      </c>
      <c r="DB95" s="142" t="s">
        <v>97</v>
      </c>
      <c r="DC95" s="142" t="s">
        <v>436</v>
      </c>
      <c r="DD95" s="123" t="s">
        <v>416</v>
      </c>
      <c r="DE95" s="119" t="s">
        <v>418</v>
      </c>
      <c r="DF95" s="119" t="s">
        <v>447</v>
      </c>
      <c r="DG95" s="119" t="s">
        <v>45</v>
      </c>
      <c r="DH95" s="119" t="s">
        <v>442</v>
      </c>
      <c r="DI95" s="119" t="s">
        <v>443</v>
      </c>
      <c r="DJ95" s="119" t="s">
        <v>97</v>
      </c>
      <c r="DK95" s="119" t="s">
        <v>97</v>
      </c>
      <c r="DL95" s="119" t="s">
        <v>97</v>
      </c>
      <c r="DM95" s="119" t="s">
        <v>432</v>
      </c>
      <c r="DN95" s="119" t="s">
        <v>423</v>
      </c>
      <c r="DO95" s="119" t="s">
        <v>421</v>
      </c>
      <c r="DP95" s="120" t="s">
        <v>433</v>
      </c>
      <c r="DW95" s="114" t="s">
        <v>97</v>
      </c>
      <c r="DX95" s="114" t="s">
        <v>97</v>
      </c>
      <c r="DY95" s="114" t="s">
        <v>97</v>
      </c>
      <c r="DZ95" s="114" t="s">
        <v>97</v>
      </c>
    </row>
    <row r="96" spans="1:130" s="185" customFormat="1" outlineLevel="1">
      <c r="A96" s="636"/>
      <c r="B96" s="57" t="str">
        <f t="shared" si="13"/>
        <v xml:space="preserve"> </v>
      </c>
      <c r="C96" s="57" t="str">
        <f t="shared" si="10"/>
        <v>Officier en second</v>
      </c>
      <c r="D96" s="57" t="str">
        <f t="shared" si="11"/>
        <v>Intendant</v>
      </c>
      <c r="E96" s="57" t="str">
        <f t="shared" si="12"/>
        <v>trafiquant de cadavre</v>
      </c>
      <c r="F96" s="636"/>
      <c r="G96" s="134" t="s">
        <v>97</v>
      </c>
      <c r="H96" s="89" t="s">
        <v>44</v>
      </c>
      <c r="I96" s="142" t="s">
        <v>97</v>
      </c>
      <c r="J96" s="142" t="s">
        <v>97</v>
      </c>
      <c r="K96" s="142" t="s">
        <v>429</v>
      </c>
      <c r="L96" s="142" t="s">
        <v>447</v>
      </c>
      <c r="M96" s="142" t="s">
        <v>443</v>
      </c>
      <c r="N96" s="142" t="s">
        <v>447</v>
      </c>
      <c r="O96" s="142" t="s">
        <v>97</v>
      </c>
      <c r="P96" s="142" t="s">
        <v>72</v>
      </c>
      <c r="Q96" s="142" t="s">
        <v>830</v>
      </c>
      <c r="R96" s="142" t="s">
        <v>450</v>
      </c>
      <c r="S96" s="142" t="s">
        <v>52</v>
      </c>
      <c r="T96" s="142" t="s">
        <v>97</v>
      </c>
      <c r="U96" s="142" t="s">
        <v>70</v>
      </c>
      <c r="V96" s="142" t="s">
        <v>438</v>
      </c>
      <c r="W96" s="142" t="s">
        <v>97</v>
      </c>
      <c r="X96" s="142" t="s">
        <v>97</v>
      </c>
      <c r="Y96" s="142" t="s">
        <v>447</v>
      </c>
      <c r="Z96" s="142" t="s">
        <v>70</v>
      </c>
      <c r="AA96" s="142" t="s">
        <v>438</v>
      </c>
      <c r="AB96" s="142" t="s">
        <v>53</v>
      </c>
      <c r="AC96" s="142" t="s">
        <v>67</v>
      </c>
      <c r="AD96" s="142" t="s">
        <v>444</v>
      </c>
      <c r="AE96" s="142" t="s">
        <v>97</v>
      </c>
      <c r="AF96" s="142" t="s">
        <v>45</v>
      </c>
      <c r="AG96" s="142" t="s">
        <v>97</v>
      </c>
      <c r="AH96" s="142" t="s">
        <v>68</v>
      </c>
      <c r="AI96" s="142" t="s">
        <v>70</v>
      </c>
      <c r="AJ96" s="142" t="s">
        <v>55</v>
      </c>
      <c r="AK96" s="142" t="s">
        <v>63</v>
      </c>
      <c r="AL96" s="142" t="s">
        <v>447</v>
      </c>
      <c r="AM96" s="142" t="s">
        <v>97</v>
      </c>
      <c r="AN96" s="142" t="s">
        <v>55</v>
      </c>
      <c r="AO96" s="142" t="s">
        <v>442</v>
      </c>
      <c r="AP96" s="142" t="s">
        <v>425</v>
      </c>
      <c r="AQ96" s="142" t="s">
        <v>438</v>
      </c>
      <c r="AR96" s="142" t="s">
        <v>67</v>
      </c>
      <c r="AS96" s="142" t="s">
        <v>447</v>
      </c>
      <c r="AT96" s="142" t="s">
        <v>436</v>
      </c>
      <c r="AU96" s="142" t="s">
        <v>450</v>
      </c>
      <c r="AV96" s="142" t="s">
        <v>47</v>
      </c>
      <c r="AW96" s="142" t="s">
        <v>430</v>
      </c>
      <c r="AX96" s="142" t="s">
        <v>64</v>
      </c>
      <c r="AY96" s="142" t="s">
        <v>97</v>
      </c>
      <c r="AZ96" s="142" t="s">
        <v>417</v>
      </c>
      <c r="BA96" s="142" t="s">
        <v>97</v>
      </c>
      <c r="BB96" s="142" t="s">
        <v>432</v>
      </c>
      <c r="BC96" s="142" t="s">
        <v>450</v>
      </c>
      <c r="BD96" s="142" t="s">
        <v>97</v>
      </c>
      <c r="BE96" s="142" t="s">
        <v>447</v>
      </c>
      <c r="BF96" s="142" t="s">
        <v>442</v>
      </c>
      <c r="BG96" s="142" t="s">
        <v>450</v>
      </c>
      <c r="BH96" s="142" t="s">
        <v>61</v>
      </c>
      <c r="BI96" s="142" t="s">
        <v>450</v>
      </c>
      <c r="BJ96" s="142" t="s">
        <v>97</v>
      </c>
      <c r="BK96" s="142" t="s">
        <v>419</v>
      </c>
      <c r="BL96" s="142" t="s">
        <v>72</v>
      </c>
      <c r="BM96" s="142" t="s">
        <v>437</v>
      </c>
      <c r="BN96" s="142" t="s">
        <v>439</v>
      </c>
      <c r="BO96" s="142" t="s">
        <v>97</v>
      </c>
      <c r="BP96" s="142" t="s">
        <v>450</v>
      </c>
      <c r="BQ96" s="142" t="s">
        <v>97</v>
      </c>
      <c r="BR96" s="142" t="s">
        <v>97</v>
      </c>
      <c r="BS96" s="142" t="s">
        <v>52</v>
      </c>
      <c r="BT96" s="142" t="s">
        <v>442</v>
      </c>
      <c r="BU96" s="142" t="s">
        <v>435</v>
      </c>
      <c r="BV96" s="142" t="s">
        <v>447</v>
      </c>
      <c r="BW96" s="142" t="s">
        <v>97</v>
      </c>
      <c r="BX96" s="142" t="s">
        <v>832</v>
      </c>
      <c r="BY96" s="142" t="s">
        <v>418</v>
      </c>
      <c r="BZ96" s="142" t="s">
        <v>450</v>
      </c>
      <c r="CA96" s="142" t="s">
        <v>56</v>
      </c>
      <c r="CB96" s="142" t="s">
        <v>447</v>
      </c>
      <c r="CC96" s="142" t="s">
        <v>50</v>
      </c>
      <c r="CD96" s="142" t="s">
        <v>97</v>
      </c>
      <c r="CE96" s="142" t="s">
        <v>70</v>
      </c>
      <c r="CF96" s="142" t="s">
        <v>97</v>
      </c>
      <c r="CG96" s="142" t="s">
        <v>437</v>
      </c>
      <c r="CH96" s="142" t="s">
        <v>97</v>
      </c>
      <c r="CI96" s="142" t="s">
        <v>56</v>
      </c>
      <c r="CJ96" s="142" t="s">
        <v>51</v>
      </c>
      <c r="CK96" s="142" t="s">
        <v>44</v>
      </c>
      <c r="CL96" s="142" t="s">
        <v>434</v>
      </c>
      <c r="CM96" s="142" t="s">
        <v>72</v>
      </c>
      <c r="CN96" s="142" t="s">
        <v>447</v>
      </c>
      <c r="CO96" s="142" t="s">
        <v>450</v>
      </c>
      <c r="CP96" s="142" t="s">
        <v>425</v>
      </c>
      <c r="CQ96" s="142" t="s">
        <v>450</v>
      </c>
      <c r="CR96" s="142" t="s">
        <v>97</v>
      </c>
      <c r="CS96" s="142" t="s">
        <v>444</v>
      </c>
      <c r="CT96" s="142" t="s">
        <v>97</v>
      </c>
      <c r="CU96" s="142" t="s">
        <v>97</v>
      </c>
      <c r="CV96" s="142" t="s">
        <v>68</v>
      </c>
      <c r="CW96" s="142" t="s">
        <v>97</v>
      </c>
      <c r="CX96" s="142" t="s">
        <v>442</v>
      </c>
      <c r="CY96" s="142" t="s">
        <v>45</v>
      </c>
      <c r="CZ96" s="142" t="s">
        <v>97</v>
      </c>
      <c r="DA96" s="142" t="s">
        <v>434</v>
      </c>
      <c r="DB96" s="142" t="s">
        <v>97</v>
      </c>
      <c r="DC96" s="142" t="s">
        <v>70</v>
      </c>
      <c r="DD96" s="142" t="s">
        <v>97</v>
      </c>
      <c r="DE96" s="119" t="s">
        <v>49</v>
      </c>
      <c r="DF96" s="119" t="s">
        <v>70</v>
      </c>
      <c r="DG96" s="119" t="s">
        <v>70</v>
      </c>
      <c r="DH96" s="119" t="s">
        <v>72</v>
      </c>
      <c r="DI96" s="119" t="s">
        <v>72</v>
      </c>
      <c r="DJ96" s="119" t="s">
        <v>97</v>
      </c>
      <c r="DK96" s="119" t="s">
        <v>97</v>
      </c>
      <c r="DL96" s="119" t="s">
        <v>97</v>
      </c>
      <c r="DM96" s="119" t="s">
        <v>436</v>
      </c>
      <c r="DN96" s="119" t="s">
        <v>425</v>
      </c>
      <c r="DO96" s="119" t="s">
        <v>447</v>
      </c>
      <c r="DP96" s="120" t="s">
        <v>58</v>
      </c>
      <c r="DW96" s="114" t="s">
        <v>97</v>
      </c>
      <c r="DX96" s="114" t="s">
        <v>97</v>
      </c>
      <c r="DY96" s="114" t="s">
        <v>97</v>
      </c>
      <c r="DZ96" s="114" t="s">
        <v>97</v>
      </c>
    </row>
    <row r="97" spans="1:130" s="185" customFormat="1" outlineLevel="1">
      <c r="A97" s="636"/>
      <c r="B97" s="57" t="str">
        <f t="shared" si="13"/>
        <v xml:space="preserve"> </v>
      </c>
      <c r="C97" s="57" t="str">
        <f t="shared" si="10"/>
        <v xml:space="preserve"> </v>
      </c>
      <c r="D97" s="57" t="str">
        <f t="shared" si="11"/>
        <v xml:space="preserve"> </v>
      </c>
      <c r="E97" s="57" t="str">
        <f t="shared" si="12"/>
        <v xml:space="preserve"> </v>
      </c>
      <c r="F97" s="636"/>
      <c r="G97" s="134" t="s">
        <v>97</v>
      </c>
      <c r="H97" s="89" t="s">
        <v>438</v>
      </c>
      <c r="I97" s="142" t="s">
        <v>97</v>
      </c>
      <c r="J97" s="142" t="s">
        <v>97</v>
      </c>
      <c r="K97" s="142" t="s">
        <v>52</v>
      </c>
      <c r="L97" s="142" t="s">
        <v>97</v>
      </c>
      <c r="M97" s="142" t="s">
        <v>97</v>
      </c>
      <c r="N97" s="142" t="s">
        <v>97</v>
      </c>
      <c r="O97" s="142" t="s">
        <v>97</v>
      </c>
      <c r="P97" s="142" t="s">
        <v>97</v>
      </c>
      <c r="Q97" s="142" t="s">
        <v>97</v>
      </c>
      <c r="R97" s="142" t="s">
        <v>97</v>
      </c>
      <c r="S97" s="142" t="s">
        <v>443</v>
      </c>
      <c r="T97" s="142" t="s">
        <v>97</v>
      </c>
      <c r="U97" s="142" t="s">
        <v>97</v>
      </c>
      <c r="V97" s="142" t="s">
        <v>97</v>
      </c>
      <c r="W97" s="142" t="s">
        <v>97</v>
      </c>
      <c r="X97" s="142" t="s">
        <v>97</v>
      </c>
      <c r="Y97" s="142" t="s">
        <v>97</v>
      </c>
      <c r="Z97" s="142" t="s">
        <v>97</v>
      </c>
      <c r="AA97" s="142" t="s">
        <v>97</v>
      </c>
      <c r="AB97" s="142" t="s">
        <v>436</v>
      </c>
      <c r="AC97" s="142" t="s">
        <v>97</v>
      </c>
      <c r="AD97" s="142" t="s">
        <v>97</v>
      </c>
      <c r="AE97" s="142" t="s">
        <v>97</v>
      </c>
      <c r="AF97" s="142" t="s">
        <v>97</v>
      </c>
      <c r="AG97" s="142" t="s">
        <v>97</v>
      </c>
      <c r="AH97" s="142" t="s">
        <v>97</v>
      </c>
      <c r="AI97" s="142" t="s">
        <v>97</v>
      </c>
      <c r="AJ97" s="142" t="s">
        <v>56</v>
      </c>
      <c r="AK97" s="142" t="s">
        <v>65</v>
      </c>
      <c r="AL97" s="142" t="s">
        <v>450</v>
      </c>
      <c r="AM97" s="142" t="s">
        <v>97</v>
      </c>
      <c r="AN97" s="142" t="s">
        <v>443</v>
      </c>
      <c r="AO97" s="142" t="s">
        <v>97</v>
      </c>
      <c r="AP97" s="142" t="s">
        <v>438</v>
      </c>
      <c r="AQ97" s="142" t="s">
        <v>97</v>
      </c>
      <c r="AR97" s="142" t="s">
        <v>97</v>
      </c>
      <c r="AS97" s="142" t="s">
        <v>97</v>
      </c>
      <c r="AT97" s="142" t="s">
        <v>97</v>
      </c>
      <c r="AU97" s="142" t="s">
        <v>97</v>
      </c>
      <c r="AV97" s="142" t="s">
        <v>70</v>
      </c>
      <c r="AW97" s="142" t="s">
        <v>432</v>
      </c>
      <c r="AX97" s="142" t="s">
        <v>72</v>
      </c>
      <c r="AY97" s="142" t="s">
        <v>97</v>
      </c>
      <c r="AZ97" s="142" t="s">
        <v>424</v>
      </c>
      <c r="BA97" s="142" t="s">
        <v>97</v>
      </c>
      <c r="BB97" s="142" t="s">
        <v>97</v>
      </c>
      <c r="BC97" s="142" t="s">
        <v>97</v>
      </c>
      <c r="BD97" s="142" t="s">
        <v>97</v>
      </c>
      <c r="BE97" s="142" t="s">
        <v>65</v>
      </c>
      <c r="BF97" s="142" t="s">
        <v>61</v>
      </c>
      <c r="BG97" s="142" t="s">
        <v>97</v>
      </c>
      <c r="BH97" s="142" t="s">
        <v>97</v>
      </c>
      <c r="BI97" s="142" t="s">
        <v>97</v>
      </c>
      <c r="BJ97" s="142" t="s">
        <v>97</v>
      </c>
      <c r="BK97" s="142" t="s">
        <v>438</v>
      </c>
      <c r="BL97" s="142" t="s">
        <v>97</v>
      </c>
      <c r="BM97" s="142" t="s">
        <v>97</v>
      </c>
      <c r="BN97" s="142" t="s">
        <v>62</v>
      </c>
      <c r="BO97" s="142" t="s">
        <v>97</v>
      </c>
      <c r="BP97" s="142" t="s">
        <v>97</v>
      </c>
      <c r="BQ97" s="142" t="s">
        <v>97</v>
      </c>
      <c r="BR97" s="142" t="s">
        <v>97</v>
      </c>
      <c r="BS97" s="142" t="s">
        <v>97</v>
      </c>
      <c r="BT97" s="142" t="s">
        <v>97</v>
      </c>
      <c r="BU97" s="142" t="s">
        <v>97</v>
      </c>
      <c r="BV97" s="142" t="s">
        <v>97</v>
      </c>
      <c r="BW97" s="142" t="s">
        <v>97</v>
      </c>
      <c r="BX97" s="142" t="s">
        <v>97</v>
      </c>
      <c r="BY97" s="142" t="s">
        <v>64</v>
      </c>
      <c r="BZ97" s="142" t="s">
        <v>97</v>
      </c>
      <c r="CA97" s="142" t="s">
        <v>436</v>
      </c>
      <c r="CB97" s="142" t="s">
        <v>72</v>
      </c>
      <c r="CC97" s="142" t="s">
        <v>436</v>
      </c>
      <c r="CD97" s="142" t="s">
        <v>97</v>
      </c>
      <c r="CE97" s="142" t="s">
        <v>97</v>
      </c>
      <c r="CF97" s="142" t="s">
        <v>97</v>
      </c>
      <c r="CG97" s="142" t="s">
        <v>438</v>
      </c>
      <c r="CH97" s="142" t="s">
        <v>97</v>
      </c>
      <c r="CI97" s="142" t="s">
        <v>97</v>
      </c>
      <c r="CJ97" s="142" t="s">
        <v>436</v>
      </c>
      <c r="CK97" s="142" t="s">
        <v>52</v>
      </c>
      <c r="CL97" s="142" t="s">
        <v>97</v>
      </c>
      <c r="CM97" s="142" t="s">
        <v>97</v>
      </c>
      <c r="CN97" s="142" t="s">
        <v>97</v>
      </c>
      <c r="CO97" s="142" t="s">
        <v>97</v>
      </c>
      <c r="CP97" s="142" t="s">
        <v>442</v>
      </c>
      <c r="CQ97" s="142" t="s">
        <v>97</v>
      </c>
      <c r="CR97" s="142" t="s">
        <v>97</v>
      </c>
      <c r="CS97" s="142" t="s">
        <v>97</v>
      </c>
      <c r="CT97" s="142" t="s">
        <v>97</v>
      </c>
      <c r="CU97" s="142" t="s">
        <v>97</v>
      </c>
      <c r="CV97" s="142" t="s">
        <v>72</v>
      </c>
      <c r="CW97" s="142" t="s">
        <v>97</v>
      </c>
      <c r="CX97" s="142" t="s">
        <v>67</v>
      </c>
      <c r="CY97" s="142" t="s">
        <v>97</v>
      </c>
      <c r="CZ97" s="142" t="s">
        <v>97</v>
      </c>
      <c r="DA97" s="142" t="s">
        <v>97</v>
      </c>
      <c r="DB97" s="142" t="s">
        <v>97</v>
      </c>
      <c r="DC97" s="142" t="s">
        <v>97</v>
      </c>
      <c r="DD97" s="142" t="s">
        <v>97</v>
      </c>
      <c r="DE97" s="119" t="s">
        <v>51</v>
      </c>
      <c r="DF97" s="119" t="s">
        <v>450</v>
      </c>
      <c r="DG97" s="119" t="s">
        <v>97</v>
      </c>
      <c r="DH97" s="119" t="s">
        <v>97</v>
      </c>
      <c r="DI97" s="119" t="s">
        <v>97</v>
      </c>
      <c r="DJ97" s="119" t="s">
        <v>97</v>
      </c>
      <c r="DK97" s="119" t="s">
        <v>97</v>
      </c>
      <c r="DL97" s="119" t="s">
        <v>97</v>
      </c>
      <c r="DM97" s="119" t="s">
        <v>72</v>
      </c>
      <c r="DN97" s="119" t="s">
        <v>97</v>
      </c>
      <c r="DO97" s="119" t="s">
        <v>97</v>
      </c>
      <c r="DP97" s="120" t="s">
        <v>443</v>
      </c>
      <c r="DW97" s="114" t="s">
        <v>97</v>
      </c>
      <c r="DX97" s="114" t="s">
        <v>97</v>
      </c>
      <c r="DY97" s="114" t="s">
        <v>97</v>
      </c>
      <c r="DZ97" s="114" t="s">
        <v>97</v>
      </c>
    </row>
    <row r="98" spans="1:130" s="185" customFormat="1" outlineLevel="1">
      <c r="A98" s="636"/>
      <c r="B98" s="57" t="str">
        <f t="shared" si="13"/>
        <v xml:space="preserve"> </v>
      </c>
      <c r="C98" s="57" t="str">
        <f t="shared" ref="C98:C122" si="14">LOOKUP(Carriere1,$G$1:$DP$1,$G98:$DP98)</f>
        <v xml:space="preserve"> </v>
      </c>
      <c r="D98" s="57" t="str">
        <f t="shared" si="11"/>
        <v xml:space="preserve"> </v>
      </c>
      <c r="E98" s="57" t="str">
        <f t="shared" si="12"/>
        <v xml:space="preserve"> </v>
      </c>
      <c r="F98" s="636"/>
      <c r="G98" s="134" t="s">
        <v>97</v>
      </c>
      <c r="H98" s="89" t="s">
        <v>97</v>
      </c>
      <c r="I98" s="142" t="s">
        <v>97</v>
      </c>
      <c r="J98" s="142" t="s">
        <v>97</v>
      </c>
      <c r="K98" s="142" t="s">
        <v>97</v>
      </c>
      <c r="L98" s="142" t="s">
        <v>97</v>
      </c>
      <c r="M98" s="142" t="s">
        <v>97</v>
      </c>
      <c r="N98" s="142" t="s">
        <v>97</v>
      </c>
      <c r="O98" s="142" t="s">
        <v>97</v>
      </c>
      <c r="P98" s="142" t="s">
        <v>97</v>
      </c>
      <c r="Q98" s="142" t="s">
        <v>97</v>
      </c>
      <c r="R98" s="142" t="s">
        <v>97</v>
      </c>
      <c r="S98" s="142" t="s">
        <v>71</v>
      </c>
      <c r="T98" s="142" t="s">
        <v>97</v>
      </c>
      <c r="U98" s="142" t="s">
        <v>97</v>
      </c>
      <c r="V98" s="142" t="s">
        <v>97</v>
      </c>
      <c r="W98" s="142" t="s">
        <v>97</v>
      </c>
      <c r="X98" s="142" t="s">
        <v>97</v>
      </c>
      <c r="Y98" s="142" t="s">
        <v>97</v>
      </c>
      <c r="Z98" s="142" t="s">
        <v>97</v>
      </c>
      <c r="AA98" s="142" t="s">
        <v>97</v>
      </c>
      <c r="AB98" s="142" t="s">
        <v>63</v>
      </c>
      <c r="AC98" s="142" t="s">
        <v>97</v>
      </c>
      <c r="AD98" s="142" t="s">
        <v>97</v>
      </c>
      <c r="AE98" s="142" t="s">
        <v>97</v>
      </c>
      <c r="AF98" s="142" t="s">
        <v>97</v>
      </c>
      <c r="AG98" s="142" t="s">
        <v>97</v>
      </c>
      <c r="AH98" s="142" t="s">
        <v>97</v>
      </c>
      <c r="AI98" s="142" t="s">
        <v>97</v>
      </c>
      <c r="AJ98" s="142" t="s">
        <v>436</v>
      </c>
      <c r="AK98" s="142" t="s">
        <v>72</v>
      </c>
      <c r="AL98" s="142" t="s">
        <v>97</v>
      </c>
      <c r="AM98" s="142" t="s">
        <v>97</v>
      </c>
      <c r="AN98" s="142" t="s">
        <v>72</v>
      </c>
      <c r="AO98" s="142" t="s">
        <v>97</v>
      </c>
      <c r="AP98" s="142" t="s">
        <v>97</v>
      </c>
      <c r="AQ98" s="142" t="s">
        <v>97</v>
      </c>
      <c r="AR98" s="142" t="s">
        <v>97</v>
      </c>
      <c r="AS98" s="142" t="s">
        <v>97</v>
      </c>
      <c r="AT98" s="142" t="s">
        <v>97</v>
      </c>
      <c r="AU98" s="142" t="s">
        <v>97</v>
      </c>
      <c r="AV98" s="142" t="s">
        <v>97</v>
      </c>
      <c r="AW98" s="142" t="s">
        <v>97</v>
      </c>
      <c r="AX98" s="142" t="s">
        <v>97</v>
      </c>
      <c r="AY98" s="142" t="s">
        <v>97</v>
      </c>
      <c r="AZ98" s="142" t="s">
        <v>45</v>
      </c>
      <c r="BA98" s="142" t="s">
        <v>97</v>
      </c>
      <c r="BB98" s="142" t="s">
        <v>97</v>
      </c>
      <c r="BC98" s="142" t="s">
        <v>97</v>
      </c>
      <c r="BD98" s="142" t="s">
        <v>97</v>
      </c>
      <c r="BE98" s="142" t="s">
        <v>97</v>
      </c>
      <c r="BF98" s="142" t="s">
        <v>67</v>
      </c>
      <c r="BG98" s="142" t="s">
        <v>97</v>
      </c>
      <c r="BH98" s="142" t="s">
        <v>97</v>
      </c>
      <c r="BI98" s="142" t="s">
        <v>97</v>
      </c>
      <c r="BJ98" s="142" t="s">
        <v>97</v>
      </c>
      <c r="BK98" s="142" t="s">
        <v>97</v>
      </c>
      <c r="BL98" s="142" t="s">
        <v>97</v>
      </c>
      <c r="BM98" s="142" t="s">
        <v>97</v>
      </c>
      <c r="BN98" s="142" t="s">
        <v>97</v>
      </c>
      <c r="BO98" s="142" t="s">
        <v>97</v>
      </c>
      <c r="BP98" s="142" t="s">
        <v>97</v>
      </c>
      <c r="BQ98" s="142" t="s">
        <v>97</v>
      </c>
      <c r="BR98" s="142" t="s">
        <v>97</v>
      </c>
      <c r="BS98" s="142" t="s">
        <v>97</v>
      </c>
      <c r="BT98" s="142" t="s">
        <v>97</v>
      </c>
      <c r="BU98" s="142" t="s">
        <v>97</v>
      </c>
      <c r="BV98" s="142" t="s">
        <v>97</v>
      </c>
      <c r="BW98" s="142" t="s">
        <v>97</v>
      </c>
      <c r="BX98" s="142" t="s">
        <v>97</v>
      </c>
      <c r="BY98" s="142" t="s">
        <v>70</v>
      </c>
      <c r="BZ98" s="142" t="s">
        <v>97</v>
      </c>
      <c r="CA98" s="142" t="s">
        <v>65</v>
      </c>
      <c r="CB98" s="142" t="s">
        <v>97</v>
      </c>
      <c r="CC98" s="142" t="s">
        <v>97</v>
      </c>
      <c r="CD98" s="142" t="s">
        <v>97</v>
      </c>
      <c r="CE98" s="142" t="s">
        <v>97</v>
      </c>
      <c r="CF98" s="142" t="s">
        <v>97</v>
      </c>
      <c r="CG98" s="142" t="s">
        <v>97</v>
      </c>
      <c r="CH98" s="142" t="s">
        <v>97</v>
      </c>
      <c r="CI98" s="142" t="s">
        <v>97</v>
      </c>
      <c r="CJ98" s="142" t="s">
        <v>447</v>
      </c>
      <c r="CK98" s="142" t="s">
        <v>830</v>
      </c>
      <c r="CL98" s="142" t="s">
        <v>97</v>
      </c>
      <c r="CM98" s="142" t="s">
        <v>97</v>
      </c>
      <c r="CN98" s="142" t="s">
        <v>97</v>
      </c>
      <c r="CO98" s="142" t="s">
        <v>97</v>
      </c>
      <c r="CP98" s="142" t="s">
        <v>97</v>
      </c>
      <c r="CQ98" s="142" t="s">
        <v>97</v>
      </c>
      <c r="CR98" s="142" t="s">
        <v>97</v>
      </c>
      <c r="CS98" s="142" t="s">
        <v>97</v>
      </c>
      <c r="CT98" s="142" t="s">
        <v>97</v>
      </c>
      <c r="CU98" s="142" t="s">
        <v>97</v>
      </c>
      <c r="CV98" s="142" t="s">
        <v>97</v>
      </c>
      <c r="CW98" s="142" t="s">
        <v>97</v>
      </c>
      <c r="CX98" s="142" t="s">
        <v>97</v>
      </c>
      <c r="CY98" s="142" t="s">
        <v>97</v>
      </c>
      <c r="CZ98" s="142" t="s">
        <v>97</v>
      </c>
      <c r="DA98" s="142" t="s">
        <v>97</v>
      </c>
      <c r="DB98" s="142" t="s">
        <v>97</v>
      </c>
      <c r="DC98" s="142" t="s">
        <v>97</v>
      </c>
      <c r="DD98" s="142" t="s">
        <v>97</v>
      </c>
      <c r="DE98" s="119" t="s">
        <v>71</v>
      </c>
      <c r="DF98" s="119" t="s">
        <v>97</v>
      </c>
      <c r="DG98" s="119" t="s">
        <v>97</v>
      </c>
      <c r="DH98" s="119" t="s">
        <v>97</v>
      </c>
      <c r="DI98" s="119" t="s">
        <v>97</v>
      </c>
      <c r="DJ98" s="119" t="s">
        <v>97</v>
      </c>
      <c r="DK98" s="119" t="s">
        <v>97</v>
      </c>
      <c r="DL98" s="119" t="s">
        <v>97</v>
      </c>
      <c r="DM98" s="119" t="s">
        <v>97</v>
      </c>
      <c r="DN98" s="119" t="s">
        <v>97</v>
      </c>
      <c r="DO98" s="119" t="s">
        <v>97</v>
      </c>
      <c r="DP98" s="120" t="s">
        <v>97</v>
      </c>
      <c r="DW98" s="114" t="s">
        <v>97</v>
      </c>
      <c r="DX98" s="114" t="s">
        <v>97</v>
      </c>
      <c r="DY98" s="114" t="s">
        <v>97</v>
      </c>
      <c r="DZ98" s="114" t="s">
        <v>97</v>
      </c>
    </row>
    <row r="99" spans="1:130" s="185" customFormat="1" outlineLevel="1">
      <c r="A99" s="636"/>
      <c r="B99" s="57" t="str">
        <f t="shared" si="13"/>
        <v xml:space="preserve"> </v>
      </c>
      <c r="C99" s="57" t="str">
        <f t="shared" si="14"/>
        <v xml:space="preserve"> </v>
      </c>
      <c r="D99" s="57" t="str">
        <f t="shared" si="11"/>
        <v xml:space="preserve"> </v>
      </c>
      <c r="E99" s="57" t="str">
        <f t="shared" si="12"/>
        <v xml:space="preserve"> </v>
      </c>
      <c r="F99" s="636"/>
      <c r="G99" s="134" t="s">
        <v>97</v>
      </c>
      <c r="H99" s="89" t="s">
        <v>97</v>
      </c>
      <c r="I99" s="142" t="s">
        <v>97</v>
      </c>
      <c r="J99" s="142" t="s">
        <v>97</v>
      </c>
      <c r="K99" s="142" t="s">
        <v>97</v>
      </c>
      <c r="L99" s="142" t="s">
        <v>97</v>
      </c>
      <c r="M99" s="142" t="s">
        <v>97</v>
      </c>
      <c r="N99" s="142" t="s">
        <v>97</v>
      </c>
      <c r="O99" s="142" t="s">
        <v>97</v>
      </c>
      <c r="P99" s="142" t="s">
        <v>97</v>
      </c>
      <c r="Q99" s="142" t="s">
        <v>97</v>
      </c>
      <c r="R99" s="142" t="s">
        <v>97</v>
      </c>
      <c r="S99" s="142" t="s">
        <v>97</v>
      </c>
      <c r="T99" s="142" t="s">
        <v>97</v>
      </c>
      <c r="U99" s="142" t="s">
        <v>97</v>
      </c>
      <c r="V99" s="142" t="s">
        <v>97</v>
      </c>
      <c r="W99" s="142" t="s">
        <v>97</v>
      </c>
      <c r="X99" s="142" t="s">
        <v>97</v>
      </c>
      <c r="Y99" s="142" t="s">
        <v>97</v>
      </c>
      <c r="Z99" s="142" t="s">
        <v>97</v>
      </c>
      <c r="AA99" s="142" t="s">
        <v>97</v>
      </c>
      <c r="AB99" s="142" t="s">
        <v>65</v>
      </c>
      <c r="AC99" s="142" t="s">
        <v>97</v>
      </c>
      <c r="AD99" s="142" t="s">
        <v>97</v>
      </c>
      <c r="AE99" s="142" t="s">
        <v>97</v>
      </c>
      <c r="AF99" s="142" t="s">
        <v>97</v>
      </c>
      <c r="AG99" s="142" t="s">
        <v>97</v>
      </c>
      <c r="AH99" s="142" t="s">
        <v>97</v>
      </c>
      <c r="AI99" s="142" t="s">
        <v>97</v>
      </c>
      <c r="AJ99" s="142" t="s">
        <v>97</v>
      </c>
      <c r="AK99" s="142" t="s">
        <v>97</v>
      </c>
      <c r="AL99" s="142" t="s">
        <v>97</v>
      </c>
      <c r="AM99" s="142" t="s">
        <v>97</v>
      </c>
      <c r="AN99" s="142" t="s">
        <v>97</v>
      </c>
      <c r="AO99" s="142" t="s">
        <v>97</v>
      </c>
      <c r="AP99" s="142" t="s">
        <v>97</v>
      </c>
      <c r="AQ99" s="142" t="s">
        <v>97</v>
      </c>
      <c r="AR99" s="142" t="s">
        <v>97</v>
      </c>
      <c r="AS99" s="142" t="s">
        <v>97</v>
      </c>
      <c r="AT99" s="142" t="s">
        <v>97</v>
      </c>
      <c r="AU99" s="142" t="s">
        <v>97</v>
      </c>
      <c r="AV99" s="142" t="s">
        <v>97</v>
      </c>
      <c r="AW99" s="142" t="s">
        <v>97</v>
      </c>
      <c r="AX99" s="142" t="s">
        <v>97</v>
      </c>
      <c r="AY99" s="142" t="s">
        <v>97</v>
      </c>
      <c r="AZ99" s="142" t="s">
        <v>430</v>
      </c>
      <c r="BA99" s="142" t="s">
        <v>97</v>
      </c>
      <c r="BB99" s="142" t="s">
        <v>97</v>
      </c>
      <c r="BC99" s="142" t="s">
        <v>97</v>
      </c>
      <c r="BD99" s="142" t="s">
        <v>97</v>
      </c>
      <c r="BE99" s="142" t="s">
        <v>97</v>
      </c>
      <c r="BF99" s="142" t="s">
        <v>97</v>
      </c>
      <c r="BG99" s="142" t="s">
        <v>97</v>
      </c>
      <c r="BH99" s="142" t="s">
        <v>97</v>
      </c>
      <c r="BI99" s="142" t="s">
        <v>97</v>
      </c>
      <c r="BJ99" s="142" t="s">
        <v>97</v>
      </c>
      <c r="BK99" s="142" t="s">
        <v>97</v>
      </c>
      <c r="BL99" s="142" t="s">
        <v>97</v>
      </c>
      <c r="BM99" s="142" t="s">
        <v>97</v>
      </c>
      <c r="BN99" s="142" t="s">
        <v>97</v>
      </c>
      <c r="BO99" s="142" t="s">
        <v>97</v>
      </c>
      <c r="BP99" s="142" t="s">
        <v>97</v>
      </c>
      <c r="BQ99" s="142" t="s">
        <v>97</v>
      </c>
      <c r="BR99" s="142" t="s">
        <v>97</v>
      </c>
      <c r="BS99" s="142" t="s">
        <v>97</v>
      </c>
      <c r="BT99" s="142" t="s">
        <v>97</v>
      </c>
      <c r="BU99" s="142" t="s">
        <v>97</v>
      </c>
      <c r="BV99" s="142" t="s">
        <v>97</v>
      </c>
      <c r="BW99" s="142" t="s">
        <v>97</v>
      </c>
      <c r="BX99" s="142" t="s">
        <v>97</v>
      </c>
      <c r="BY99" s="142" t="s">
        <v>97</v>
      </c>
      <c r="BZ99" s="142" t="s">
        <v>97</v>
      </c>
      <c r="CA99" s="142" t="s">
        <v>97</v>
      </c>
      <c r="CB99" s="142" t="s">
        <v>97</v>
      </c>
      <c r="CC99" s="142" t="s">
        <v>97</v>
      </c>
      <c r="CD99" s="142" t="s">
        <v>97</v>
      </c>
      <c r="CE99" s="142" t="s">
        <v>97</v>
      </c>
      <c r="CF99" s="142" t="s">
        <v>97</v>
      </c>
      <c r="CG99" s="142" t="s">
        <v>97</v>
      </c>
      <c r="CH99" s="142" t="s">
        <v>97</v>
      </c>
      <c r="CI99" s="142" t="s">
        <v>97</v>
      </c>
      <c r="CJ99" s="142" t="s">
        <v>97</v>
      </c>
      <c r="CK99" s="142" t="s">
        <v>438</v>
      </c>
      <c r="CL99" s="142" t="s">
        <v>97</v>
      </c>
      <c r="CM99" s="142" t="s">
        <v>97</v>
      </c>
      <c r="CN99" s="142" t="s">
        <v>97</v>
      </c>
      <c r="CO99" s="142" t="s">
        <v>97</v>
      </c>
      <c r="CP99" s="142" t="s">
        <v>97</v>
      </c>
      <c r="CQ99" s="142" t="s">
        <v>97</v>
      </c>
      <c r="CR99" s="142" t="s">
        <v>97</v>
      </c>
      <c r="CS99" s="142" t="s">
        <v>97</v>
      </c>
      <c r="CT99" s="142" t="s">
        <v>97</v>
      </c>
      <c r="CU99" s="142" t="s">
        <v>97</v>
      </c>
      <c r="CV99" s="142" t="s">
        <v>97</v>
      </c>
      <c r="CW99" s="142" t="s">
        <v>97</v>
      </c>
      <c r="CX99" s="142" t="s">
        <v>97</v>
      </c>
      <c r="CY99" s="142" t="s">
        <v>97</v>
      </c>
      <c r="CZ99" s="142" t="s">
        <v>97</v>
      </c>
      <c r="DA99" s="142" t="s">
        <v>97</v>
      </c>
      <c r="DB99" s="142" t="s">
        <v>97</v>
      </c>
      <c r="DC99" s="142" t="s">
        <v>97</v>
      </c>
      <c r="DD99" s="142" t="s">
        <v>97</v>
      </c>
      <c r="DE99" s="119" t="s">
        <v>72</v>
      </c>
      <c r="DF99" s="119" t="s">
        <v>97</v>
      </c>
      <c r="DG99" s="119" t="s">
        <v>97</v>
      </c>
      <c r="DH99" s="119" t="s">
        <v>97</v>
      </c>
      <c r="DI99" s="119" t="s">
        <v>97</v>
      </c>
      <c r="DJ99" s="119" t="s">
        <v>97</v>
      </c>
      <c r="DK99" s="119" t="s">
        <v>97</v>
      </c>
      <c r="DL99" s="119" t="s">
        <v>97</v>
      </c>
      <c r="DM99" s="119" t="s">
        <v>97</v>
      </c>
      <c r="DN99" s="119" t="s">
        <v>97</v>
      </c>
      <c r="DO99" s="119" t="s">
        <v>97</v>
      </c>
      <c r="DP99" s="120" t="s">
        <v>97</v>
      </c>
      <c r="DW99" s="114" t="s">
        <v>97</v>
      </c>
      <c r="DX99" s="114" t="s">
        <v>97</v>
      </c>
      <c r="DY99" s="114" t="s">
        <v>97</v>
      </c>
      <c r="DZ99" s="114" t="s">
        <v>97</v>
      </c>
    </row>
    <row r="100" spans="1:130" s="185" customFormat="1" outlineLevel="1">
      <c r="A100" s="636"/>
      <c r="B100" s="57" t="str">
        <f t="shared" si="13"/>
        <v xml:space="preserve"> </v>
      </c>
      <c r="C100" s="57" t="str">
        <f t="shared" si="14"/>
        <v xml:space="preserve"> </v>
      </c>
      <c r="D100" s="57" t="str">
        <f t="shared" si="11"/>
        <v xml:space="preserve"> </v>
      </c>
      <c r="E100" s="57" t="str">
        <f t="shared" si="12"/>
        <v xml:space="preserve"> </v>
      </c>
      <c r="F100" s="636"/>
      <c r="G100" s="134" t="s">
        <v>97</v>
      </c>
      <c r="H100" s="89" t="s">
        <v>97</v>
      </c>
      <c r="I100" s="142" t="s">
        <v>97</v>
      </c>
      <c r="J100" s="142" t="s">
        <v>97</v>
      </c>
      <c r="K100" s="142" t="s">
        <v>97</v>
      </c>
      <c r="L100" s="142" t="s">
        <v>97</v>
      </c>
      <c r="M100" s="142" t="s">
        <v>97</v>
      </c>
      <c r="N100" s="142" t="s">
        <v>97</v>
      </c>
      <c r="O100" s="142" t="s">
        <v>97</v>
      </c>
      <c r="P100" s="142" t="s">
        <v>97</v>
      </c>
      <c r="Q100" s="142" t="s">
        <v>97</v>
      </c>
      <c r="R100" s="142" t="s">
        <v>97</v>
      </c>
      <c r="S100" s="142" t="s">
        <v>97</v>
      </c>
      <c r="T100" s="142" t="s">
        <v>97</v>
      </c>
      <c r="U100" s="142" t="s">
        <v>97</v>
      </c>
      <c r="V100" s="142" t="s">
        <v>97</v>
      </c>
      <c r="W100" s="142" t="s">
        <v>97</v>
      </c>
      <c r="X100" s="142" t="s">
        <v>97</v>
      </c>
      <c r="Y100" s="142" t="s">
        <v>97</v>
      </c>
      <c r="Z100" s="142" t="s">
        <v>97</v>
      </c>
      <c r="AA100" s="142" t="s">
        <v>97</v>
      </c>
      <c r="AB100" s="142" t="s">
        <v>97</v>
      </c>
      <c r="AC100" s="142" t="s">
        <v>97</v>
      </c>
      <c r="AD100" s="142" t="s">
        <v>97</v>
      </c>
      <c r="AE100" s="142" t="s">
        <v>97</v>
      </c>
      <c r="AF100" s="142" t="s">
        <v>97</v>
      </c>
      <c r="AG100" s="142" t="s">
        <v>97</v>
      </c>
      <c r="AH100" s="142" t="s">
        <v>97</v>
      </c>
      <c r="AI100" s="142" t="s">
        <v>97</v>
      </c>
      <c r="AJ100" s="142" t="s">
        <v>97</v>
      </c>
      <c r="AK100" s="142" t="s">
        <v>97</v>
      </c>
      <c r="AL100" s="142" t="s">
        <v>97</v>
      </c>
      <c r="AM100" s="142" t="s">
        <v>97</v>
      </c>
      <c r="AN100" s="142" t="s">
        <v>97</v>
      </c>
      <c r="AO100" s="142" t="s">
        <v>97</v>
      </c>
      <c r="AP100" s="142" t="s">
        <v>97</v>
      </c>
      <c r="AQ100" s="142" t="s">
        <v>97</v>
      </c>
      <c r="AR100" s="142" t="s">
        <v>97</v>
      </c>
      <c r="AS100" s="142" t="s">
        <v>97</v>
      </c>
      <c r="AT100" s="142" t="s">
        <v>97</v>
      </c>
      <c r="AU100" s="142" t="s">
        <v>97</v>
      </c>
      <c r="AV100" s="142" t="s">
        <v>97</v>
      </c>
      <c r="AW100" s="142" t="s">
        <v>97</v>
      </c>
      <c r="AX100" s="142" t="s">
        <v>97</v>
      </c>
      <c r="AY100" s="142" t="s">
        <v>97</v>
      </c>
      <c r="AZ100" s="142" t="s">
        <v>97</v>
      </c>
      <c r="BA100" s="142" t="s">
        <v>97</v>
      </c>
      <c r="BB100" s="142" t="s">
        <v>97</v>
      </c>
      <c r="BC100" s="142" t="s">
        <v>97</v>
      </c>
      <c r="BD100" s="142" t="s">
        <v>97</v>
      </c>
      <c r="BE100" s="142" t="s">
        <v>97</v>
      </c>
      <c r="BF100" s="142" t="s">
        <v>97</v>
      </c>
      <c r="BG100" s="142" t="s">
        <v>97</v>
      </c>
      <c r="BH100" s="142" t="s">
        <v>97</v>
      </c>
      <c r="BI100" s="142" t="s">
        <v>97</v>
      </c>
      <c r="BJ100" s="142" t="s">
        <v>97</v>
      </c>
      <c r="BK100" s="142" t="s">
        <v>97</v>
      </c>
      <c r="BL100" s="142" t="s">
        <v>97</v>
      </c>
      <c r="BM100" s="142" t="s">
        <v>97</v>
      </c>
      <c r="BN100" s="142" t="s">
        <v>97</v>
      </c>
      <c r="BO100" s="142" t="s">
        <v>97</v>
      </c>
      <c r="BP100" s="142" t="s">
        <v>97</v>
      </c>
      <c r="BQ100" s="142" t="s">
        <v>97</v>
      </c>
      <c r="BR100" s="142" t="s">
        <v>97</v>
      </c>
      <c r="BS100" s="142" t="s">
        <v>97</v>
      </c>
      <c r="BT100" s="142" t="s">
        <v>97</v>
      </c>
      <c r="BU100" s="142" t="s">
        <v>97</v>
      </c>
      <c r="BV100" s="142" t="s">
        <v>97</v>
      </c>
      <c r="BW100" s="142" t="s">
        <v>97</v>
      </c>
      <c r="BX100" s="142" t="s">
        <v>97</v>
      </c>
      <c r="BY100" s="142" t="s">
        <v>97</v>
      </c>
      <c r="BZ100" s="142" t="s">
        <v>97</v>
      </c>
      <c r="CA100" s="142" t="s">
        <v>97</v>
      </c>
      <c r="CB100" s="142" t="s">
        <v>97</v>
      </c>
      <c r="CC100" s="142" t="s">
        <v>97</v>
      </c>
      <c r="CD100" s="142" t="s">
        <v>97</v>
      </c>
      <c r="CE100" s="142" t="s">
        <v>97</v>
      </c>
      <c r="CF100" s="142" t="s">
        <v>97</v>
      </c>
      <c r="CG100" s="142" t="s">
        <v>97</v>
      </c>
      <c r="CH100" s="142" t="s">
        <v>97</v>
      </c>
      <c r="CI100" s="142" t="s">
        <v>97</v>
      </c>
      <c r="CJ100" s="142" t="s">
        <v>97</v>
      </c>
      <c r="CK100" s="142" t="s">
        <v>64</v>
      </c>
      <c r="CL100" s="142" t="s">
        <v>97</v>
      </c>
      <c r="CM100" s="142" t="s">
        <v>97</v>
      </c>
      <c r="CN100" s="142" t="s">
        <v>97</v>
      </c>
      <c r="CO100" s="142" t="s">
        <v>97</v>
      </c>
      <c r="CP100" s="142" t="s">
        <v>97</v>
      </c>
      <c r="CQ100" s="142" t="s">
        <v>97</v>
      </c>
      <c r="CR100" s="142" t="s">
        <v>97</v>
      </c>
      <c r="CS100" s="142" t="s">
        <v>97</v>
      </c>
      <c r="CT100" s="142" t="s">
        <v>97</v>
      </c>
      <c r="CU100" s="142" t="s">
        <v>97</v>
      </c>
      <c r="CV100" s="142" t="s">
        <v>97</v>
      </c>
      <c r="CW100" s="142" t="s">
        <v>97</v>
      </c>
      <c r="CX100" s="142" t="s">
        <v>97</v>
      </c>
      <c r="CY100" s="142" t="s">
        <v>97</v>
      </c>
      <c r="CZ100" s="142" t="s">
        <v>97</v>
      </c>
      <c r="DA100" s="142" t="s">
        <v>97</v>
      </c>
      <c r="DB100" s="142" t="s">
        <v>97</v>
      </c>
      <c r="DC100" s="142" t="s">
        <v>97</v>
      </c>
      <c r="DD100" s="142" t="s">
        <v>97</v>
      </c>
      <c r="DE100" s="119" t="s">
        <v>97</v>
      </c>
      <c r="DF100" s="119" t="s">
        <v>97</v>
      </c>
      <c r="DG100" s="119" t="s">
        <v>97</v>
      </c>
      <c r="DH100" s="119" t="s">
        <v>97</v>
      </c>
      <c r="DI100" s="119" t="s">
        <v>97</v>
      </c>
      <c r="DJ100" s="119" t="s">
        <v>97</v>
      </c>
      <c r="DK100" s="119" t="s">
        <v>97</v>
      </c>
      <c r="DL100" s="119" t="s">
        <v>97</v>
      </c>
      <c r="DM100" s="119" t="s">
        <v>97</v>
      </c>
      <c r="DN100" s="119" t="s">
        <v>97</v>
      </c>
      <c r="DO100" s="119" t="s">
        <v>97</v>
      </c>
      <c r="DP100" s="120" t="s">
        <v>97</v>
      </c>
      <c r="DW100" s="114" t="s">
        <v>97</v>
      </c>
      <c r="DX100" s="114" t="s">
        <v>97</v>
      </c>
      <c r="DY100" s="114" t="s">
        <v>97</v>
      </c>
      <c r="DZ100" s="114" t="s">
        <v>97</v>
      </c>
    </row>
    <row r="101" spans="1:130" s="185" customFormat="1" outlineLevel="1">
      <c r="A101" s="636"/>
      <c r="B101" s="57" t="str">
        <f t="shared" si="13"/>
        <v xml:space="preserve"> </v>
      </c>
      <c r="C101" s="57" t="str">
        <f t="shared" si="14"/>
        <v xml:space="preserve"> </v>
      </c>
      <c r="D101" s="57" t="str">
        <f t="shared" si="11"/>
        <v xml:space="preserve"> </v>
      </c>
      <c r="E101" s="57" t="str">
        <f t="shared" si="12"/>
        <v xml:space="preserve"> </v>
      </c>
      <c r="F101" s="636"/>
      <c r="G101" s="134" t="s">
        <v>97</v>
      </c>
      <c r="H101" s="89" t="s">
        <v>97</v>
      </c>
      <c r="I101" s="142" t="s">
        <v>97</v>
      </c>
      <c r="J101" s="142" t="s">
        <v>97</v>
      </c>
      <c r="K101" s="142" t="s">
        <v>97</v>
      </c>
      <c r="L101" s="142" t="s">
        <v>97</v>
      </c>
      <c r="M101" s="142" t="s">
        <v>97</v>
      </c>
      <c r="N101" s="142" t="s">
        <v>97</v>
      </c>
      <c r="O101" s="142" t="s">
        <v>97</v>
      </c>
      <c r="P101" s="142" t="s">
        <v>97</v>
      </c>
      <c r="Q101" s="142" t="s">
        <v>97</v>
      </c>
      <c r="R101" s="142" t="s">
        <v>97</v>
      </c>
      <c r="S101" s="142" t="s">
        <v>97</v>
      </c>
      <c r="T101" s="142" t="s">
        <v>97</v>
      </c>
      <c r="U101" s="142" t="s">
        <v>97</v>
      </c>
      <c r="V101" s="142" t="s">
        <v>97</v>
      </c>
      <c r="W101" s="142" t="s">
        <v>97</v>
      </c>
      <c r="X101" s="142" t="s">
        <v>97</v>
      </c>
      <c r="Y101" s="142" t="s">
        <v>97</v>
      </c>
      <c r="Z101" s="142" t="s">
        <v>97</v>
      </c>
      <c r="AA101" s="142" t="s">
        <v>97</v>
      </c>
      <c r="AB101" s="142" t="s">
        <v>97</v>
      </c>
      <c r="AC101" s="142" t="s">
        <v>97</v>
      </c>
      <c r="AD101" s="142" t="s">
        <v>97</v>
      </c>
      <c r="AE101" s="142" t="s">
        <v>97</v>
      </c>
      <c r="AF101" s="142" t="s">
        <v>97</v>
      </c>
      <c r="AG101" s="142" t="s">
        <v>97</v>
      </c>
      <c r="AH101" s="142" t="s">
        <v>97</v>
      </c>
      <c r="AI101" s="142" t="s">
        <v>97</v>
      </c>
      <c r="AJ101" s="142" t="s">
        <v>97</v>
      </c>
      <c r="AK101" s="142" t="s">
        <v>97</v>
      </c>
      <c r="AL101" s="142" t="s">
        <v>97</v>
      </c>
      <c r="AM101" s="142" t="s">
        <v>97</v>
      </c>
      <c r="AN101" s="142" t="s">
        <v>97</v>
      </c>
      <c r="AO101" s="142" t="s">
        <v>97</v>
      </c>
      <c r="AP101" s="142" t="s">
        <v>97</v>
      </c>
      <c r="AQ101" s="142" t="s">
        <v>97</v>
      </c>
      <c r="AR101" s="142" t="s">
        <v>97</v>
      </c>
      <c r="AS101" s="142" t="s">
        <v>97</v>
      </c>
      <c r="AT101" s="142" t="s">
        <v>97</v>
      </c>
      <c r="AU101" s="142" t="s">
        <v>97</v>
      </c>
      <c r="AV101" s="142" t="s">
        <v>97</v>
      </c>
      <c r="AW101" s="142" t="s">
        <v>97</v>
      </c>
      <c r="AX101" s="142" t="s">
        <v>97</v>
      </c>
      <c r="AY101" s="142" t="s">
        <v>97</v>
      </c>
      <c r="AZ101" s="142" t="s">
        <v>97</v>
      </c>
      <c r="BA101" s="142" t="s">
        <v>97</v>
      </c>
      <c r="BB101" s="142" t="s">
        <v>97</v>
      </c>
      <c r="BC101" s="142" t="s">
        <v>97</v>
      </c>
      <c r="BD101" s="142" t="s">
        <v>97</v>
      </c>
      <c r="BE101" s="142" t="s">
        <v>97</v>
      </c>
      <c r="BF101" s="142" t="s">
        <v>97</v>
      </c>
      <c r="BG101" s="142" t="s">
        <v>97</v>
      </c>
      <c r="BH101" s="142" t="s">
        <v>97</v>
      </c>
      <c r="BI101" s="142" t="s">
        <v>97</v>
      </c>
      <c r="BJ101" s="142" t="s">
        <v>97</v>
      </c>
      <c r="BK101" s="142" t="s">
        <v>97</v>
      </c>
      <c r="BL101" s="142" t="s">
        <v>97</v>
      </c>
      <c r="BM101" s="142" t="s">
        <v>97</v>
      </c>
      <c r="BN101" s="142" t="s">
        <v>97</v>
      </c>
      <c r="BO101" s="142" t="s">
        <v>97</v>
      </c>
      <c r="BP101" s="142" t="s">
        <v>97</v>
      </c>
      <c r="BQ101" s="142" t="s">
        <v>97</v>
      </c>
      <c r="BR101" s="142" t="s">
        <v>97</v>
      </c>
      <c r="BS101" s="142" t="s">
        <v>97</v>
      </c>
      <c r="BT101" s="142" t="s">
        <v>97</v>
      </c>
      <c r="BU101" s="142" t="s">
        <v>97</v>
      </c>
      <c r="BV101" s="142" t="s">
        <v>97</v>
      </c>
      <c r="BW101" s="142" t="s">
        <v>97</v>
      </c>
      <c r="BX101" s="142" t="s">
        <v>97</v>
      </c>
      <c r="BY101" s="142" t="s">
        <v>97</v>
      </c>
      <c r="BZ101" s="142" t="s">
        <v>97</v>
      </c>
      <c r="CA101" s="142" t="s">
        <v>97</v>
      </c>
      <c r="CB101" s="142" t="s">
        <v>97</v>
      </c>
      <c r="CC101" s="142" t="s">
        <v>97</v>
      </c>
      <c r="CD101" s="142" t="s">
        <v>97</v>
      </c>
      <c r="CE101" s="142" t="s">
        <v>97</v>
      </c>
      <c r="CF101" s="142" t="s">
        <v>97</v>
      </c>
      <c r="CG101" s="142" t="s">
        <v>97</v>
      </c>
      <c r="CH101" s="142" t="s">
        <v>97</v>
      </c>
      <c r="CI101" s="142" t="s">
        <v>97</v>
      </c>
      <c r="CJ101" s="142" t="s">
        <v>97</v>
      </c>
      <c r="CK101" s="142" t="s">
        <v>97</v>
      </c>
      <c r="CL101" s="142" t="s">
        <v>97</v>
      </c>
      <c r="CM101" s="142" t="s">
        <v>97</v>
      </c>
      <c r="CN101" s="142" t="s">
        <v>97</v>
      </c>
      <c r="CO101" s="142" t="s">
        <v>97</v>
      </c>
      <c r="CP101" s="142" t="s">
        <v>97</v>
      </c>
      <c r="CQ101" s="142" t="s">
        <v>97</v>
      </c>
      <c r="CR101" s="142" t="s">
        <v>97</v>
      </c>
      <c r="CS101" s="142" t="s">
        <v>97</v>
      </c>
      <c r="CT101" s="142" t="s">
        <v>97</v>
      </c>
      <c r="CU101" s="142" t="s">
        <v>97</v>
      </c>
      <c r="CV101" s="142" t="s">
        <v>97</v>
      </c>
      <c r="CW101" s="142" t="s">
        <v>97</v>
      </c>
      <c r="CX101" s="142" t="s">
        <v>97</v>
      </c>
      <c r="CY101" s="142" t="s">
        <v>97</v>
      </c>
      <c r="CZ101" s="142" t="s">
        <v>97</v>
      </c>
      <c r="DA101" s="142" t="s">
        <v>97</v>
      </c>
      <c r="DB101" s="142" t="s">
        <v>97</v>
      </c>
      <c r="DC101" s="142" t="s">
        <v>97</v>
      </c>
      <c r="DD101" s="142" t="s">
        <v>97</v>
      </c>
      <c r="DE101" s="119" t="s">
        <v>97</v>
      </c>
      <c r="DF101" s="119" t="s">
        <v>97</v>
      </c>
      <c r="DG101" s="119" t="s">
        <v>97</v>
      </c>
      <c r="DH101" s="119" t="s">
        <v>97</v>
      </c>
      <c r="DI101" s="119" t="s">
        <v>97</v>
      </c>
      <c r="DJ101" s="119" t="s">
        <v>97</v>
      </c>
      <c r="DK101" s="119" t="s">
        <v>97</v>
      </c>
      <c r="DL101" s="119" t="s">
        <v>97</v>
      </c>
      <c r="DM101" s="119" t="s">
        <v>97</v>
      </c>
      <c r="DN101" s="119" t="s">
        <v>97</v>
      </c>
      <c r="DO101" s="119" t="s">
        <v>97</v>
      </c>
      <c r="DP101" s="120" t="s">
        <v>97</v>
      </c>
      <c r="DW101" s="114" t="s">
        <v>97</v>
      </c>
      <c r="DX101" s="114" t="s">
        <v>97</v>
      </c>
      <c r="DY101" s="114" t="s">
        <v>97</v>
      </c>
      <c r="DZ101" s="114" t="s">
        <v>97</v>
      </c>
    </row>
    <row r="102" spans="1:130" s="185" customFormat="1" outlineLevel="1">
      <c r="A102" s="636"/>
      <c r="B102" s="57" t="str">
        <f t="shared" si="13"/>
        <v xml:space="preserve"> </v>
      </c>
      <c r="C102" s="57" t="str">
        <f t="shared" si="14"/>
        <v xml:space="preserve"> </v>
      </c>
      <c r="D102" s="57" t="str">
        <f t="shared" si="11"/>
        <v xml:space="preserve"> </v>
      </c>
      <c r="E102" s="57" t="str">
        <f t="shared" si="12"/>
        <v xml:space="preserve"> </v>
      </c>
      <c r="F102" s="636"/>
      <c r="G102" s="134" t="s">
        <v>97</v>
      </c>
      <c r="H102" s="89" t="s">
        <v>97</v>
      </c>
      <c r="I102" s="142" t="s">
        <v>97</v>
      </c>
      <c r="J102" s="142" t="s">
        <v>97</v>
      </c>
      <c r="K102" s="142" t="s">
        <v>97</v>
      </c>
      <c r="L102" s="142" t="s">
        <v>97</v>
      </c>
      <c r="M102" s="142" t="s">
        <v>97</v>
      </c>
      <c r="N102" s="142" t="s">
        <v>97</v>
      </c>
      <c r="O102" s="142" t="s">
        <v>97</v>
      </c>
      <c r="P102" s="142" t="s">
        <v>97</v>
      </c>
      <c r="Q102" s="142" t="s">
        <v>97</v>
      </c>
      <c r="R102" s="142" t="s">
        <v>97</v>
      </c>
      <c r="S102" s="142" t="s">
        <v>97</v>
      </c>
      <c r="T102" s="142" t="s">
        <v>97</v>
      </c>
      <c r="U102" s="142" t="s">
        <v>97</v>
      </c>
      <c r="V102" s="142" t="s">
        <v>97</v>
      </c>
      <c r="W102" s="142" t="s">
        <v>97</v>
      </c>
      <c r="X102" s="142" t="s">
        <v>97</v>
      </c>
      <c r="Y102" s="142" t="s">
        <v>97</v>
      </c>
      <c r="Z102" s="142" t="s">
        <v>97</v>
      </c>
      <c r="AA102" s="142" t="s">
        <v>97</v>
      </c>
      <c r="AB102" s="142" t="s">
        <v>97</v>
      </c>
      <c r="AC102" s="142" t="s">
        <v>97</v>
      </c>
      <c r="AD102" s="142" t="s">
        <v>97</v>
      </c>
      <c r="AE102" s="142" t="s">
        <v>97</v>
      </c>
      <c r="AF102" s="142" t="s">
        <v>97</v>
      </c>
      <c r="AG102" s="142" t="s">
        <v>97</v>
      </c>
      <c r="AH102" s="142" t="s">
        <v>97</v>
      </c>
      <c r="AI102" s="142" t="s">
        <v>97</v>
      </c>
      <c r="AJ102" s="142" t="s">
        <v>97</v>
      </c>
      <c r="AK102" s="142" t="s">
        <v>97</v>
      </c>
      <c r="AL102" s="142" t="s">
        <v>97</v>
      </c>
      <c r="AM102" s="142" t="s">
        <v>97</v>
      </c>
      <c r="AN102" s="142" t="s">
        <v>97</v>
      </c>
      <c r="AO102" s="142" t="s">
        <v>97</v>
      </c>
      <c r="AP102" s="142" t="s">
        <v>97</v>
      </c>
      <c r="AQ102" s="142" t="s">
        <v>97</v>
      </c>
      <c r="AR102" s="142" t="s">
        <v>97</v>
      </c>
      <c r="AS102" s="142" t="s">
        <v>97</v>
      </c>
      <c r="AT102" s="142" t="s">
        <v>97</v>
      </c>
      <c r="AU102" s="142" t="s">
        <v>97</v>
      </c>
      <c r="AV102" s="142" t="s">
        <v>97</v>
      </c>
      <c r="AW102" s="142" t="s">
        <v>97</v>
      </c>
      <c r="AX102" s="142" t="s">
        <v>97</v>
      </c>
      <c r="AY102" s="142" t="s">
        <v>97</v>
      </c>
      <c r="AZ102" s="142" t="s">
        <v>97</v>
      </c>
      <c r="BA102" s="142" t="s">
        <v>97</v>
      </c>
      <c r="BB102" s="142" t="s">
        <v>97</v>
      </c>
      <c r="BC102" s="142" t="s">
        <v>97</v>
      </c>
      <c r="BD102" s="142" t="s">
        <v>97</v>
      </c>
      <c r="BE102" s="142" t="s">
        <v>97</v>
      </c>
      <c r="BF102" s="142" t="s">
        <v>97</v>
      </c>
      <c r="BG102" s="142" t="s">
        <v>97</v>
      </c>
      <c r="BH102" s="142" t="s">
        <v>97</v>
      </c>
      <c r="BI102" s="142" t="s">
        <v>97</v>
      </c>
      <c r="BJ102" s="142" t="s">
        <v>97</v>
      </c>
      <c r="BK102" s="142" t="s">
        <v>97</v>
      </c>
      <c r="BL102" s="142" t="s">
        <v>97</v>
      </c>
      <c r="BM102" s="142" t="s">
        <v>97</v>
      </c>
      <c r="BN102" s="142" t="s">
        <v>97</v>
      </c>
      <c r="BO102" s="142" t="s">
        <v>97</v>
      </c>
      <c r="BP102" s="142" t="s">
        <v>97</v>
      </c>
      <c r="BQ102" s="142" t="s">
        <v>97</v>
      </c>
      <c r="BR102" s="142" t="s">
        <v>97</v>
      </c>
      <c r="BS102" s="142" t="s">
        <v>97</v>
      </c>
      <c r="BT102" s="142" t="s">
        <v>97</v>
      </c>
      <c r="BU102" s="142" t="s">
        <v>97</v>
      </c>
      <c r="BV102" s="142" t="s">
        <v>97</v>
      </c>
      <c r="BW102" s="142" t="s">
        <v>97</v>
      </c>
      <c r="BX102" s="142" t="s">
        <v>97</v>
      </c>
      <c r="BY102" s="142" t="s">
        <v>97</v>
      </c>
      <c r="BZ102" s="142" t="s">
        <v>97</v>
      </c>
      <c r="CA102" s="142" t="s">
        <v>97</v>
      </c>
      <c r="CB102" s="142" t="s">
        <v>97</v>
      </c>
      <c r="CC102" s="142" t="s">
        <v>97</v>
      </c>
      <c r="CD102" s="142" t="s">
        <v>97</v>
      </c>
      <c r="CE102" s="142" t="s">
        <v>97</v>
      </c>
      <c r="CF102" s="142" t="s">
        <v>97</v>
      </c>
      <c r="CG102" s="142" t="s">
        <v>97</v>
      </c>
      <c r="CH102" s="142" t="s">
        <v>97</v>
      </c>
      <c r="CI102" s="142" t="s">
        <v>97</v>
      </c>
      <c r="CJ102" s="142" t="s">
        <v>97</v>
      </c>
      <c r="CK102" s="142" t="s">
        <v>97</v>
      </c>
      <c r="CL102" s="142" t="s">
        <v>97</v>
      </c>
      <c r="CM102" s="142" t="s">
        <v>97</v>
      </c>
      <c r="CN102" s="142" t="s">
        <v>97</v>
      </c>
      <c r="CO102" s="142" t="s">
        <v>97</v>
      </c>
      <c r="CP102" s="142" t="s">
        <v>97</v>
      </c>
      <c r="CQ102" s="142" t="s">
        <v>97</v>
      </c>
      <c r="CR102" s="142" t="s">
        <v>97</v>
      </c>
      <c r="CS102" s="142" t="s">
        <v>97</v>
      </c>
      <c r="CT102" s="142" t="s">
        <v>97</v>
      </c>
      <c r="CU102" s="142" t="s">
        <v>97</v>
      </c>
      <c r="CV102" s="142" t="s">
        <v>97</v>
      </c>
      <c r="CW102" s="142" t="s">
        <v>97</v>
      </c>
      <c r="CX102" s="142" t="s">
        <v>97</v>
      </c>
      <c r="CY102" s="142" t="s">
        <v>97</v>
      </c>
      <c r="CZ102" s="142" t="s">
        <v>97</v>
      </c>
      <c r="DA102" s="142" t="s">
        <v>97</v>
      </c>
      <c r="DB102" s="142" t="s">
        <v>97</v>
      </c>
      <c r="DC102" s="142" t="s">
        <v>97</v>
      </c>
      <c r="DD102" s="142" t="s">
        <v>97</v>
      </c>
      <c r="DE102" s="119" t="s">
        <v>97</v>
      </c>
      <c r="DF102" s="119" t="s">
        <v>97</v>
      </c>
      <c r="DG102" s="119" t="s">
        <v>97</v>
      </c>
      <c r="DH102" s="119" t="s">
        <v>97</v>
      </c>
      <c r="DI102" s="119" t="s">
        <v>97</v>
      </c>
      <c r="DJ102" s="119" t="s">
        <v>97</v>
      </c>
      <c r="DK102" s="119" t="s">
        <v>97</v>
      </c>
      <c r="DL102" s="119" t="s">
        <v>97</v>
      </c>
      <c r="DM102" s="119" t="s">
        <v>97</v>
      </c>
      <c r="DN102" s="119" t="s">
        <v>97</v>
      </c>
      <c r="DO102" s="119" t="s">
        <v>97</v>
      </c>
      <c r="DP102" s="120" t="s">
        <v>97</v>
      </c>
      <c r="DW102" s="114" t="s">
        <v>97</v>
      </c>
      <c r="DX102" s="114" t="s">
        <v>97</v>
      </c>
      <c r="DY102" s="114" t="s">
        <v>97</v>
      </c>
      <c r="DZ102" s="114" t="s">
        <v>97</v>
      </c>
    </row>
    <row r="103" spans="1:130" s="185" customFormat="1" outlineLevel="1">
      <c r="A103" s="636"/>
      <c r="B103" s="57" t="str">
        <f t="shared" si="13"/>
        <v xml:space="preserve"> </v>
      </c>
      <c r="C103" s="57" t="str">
        <f t="shared" si="14"/>
        <v xml:space="preserve"> </v>
      </c>
      <c r="D103" s="57" t="str">
        <f t="shared" si="11"/>
        <v xml:space="preserve"> </v>
      </c>
      <c r="E103" s="57" t="str">
        <f t="shared" si="12"/>
        <v xml:space="preserve"> </v>
      </c>
      <c r="F103" s="636"/>
      <c r="G103" s="134" t="s">
        <v>97</v>
      </c>
      <c r="H103" s="89" t="s">
        <v>97</v>
      </c>
      <c r="I103" s="142" t="s">
        <v>97</v>
      </c>
      <c r="J103" s="142" t="s">
        <v>97</v>
      </c>
      <c r="K103" s="142" t="s">
        <v>97</v>
      </c>
      <c r="L103" s="142" t="s">
        <v>97</v>
      </c>
      <c r="M103" s="142" t="s">
        <v>97</v>
      </c>
      <c r="N103" s="142" t="s">
        <v>97</v>
      </c>
      <c r="O103" s="142" t="s">
        <v>97</v>
      </c>
      <c r="P103" s="142" t="s">
        <v>97</v>
      </c>
      <c r="Q103" s="142" t="s">
        <v>97</v>
      </c>
      <c r="R103" s="142" t="s">
        <v>97</v>
      </c>
      <c r="S103" s="142" t="s">
        <v>97</v>
      </c>
      <c r="T103" s="142" t="s">
        <v>97</v>
      </c>
      <c r="U103" s="142" t="s">
        <v>97</v>
      </c>
      <c r="V103" s="142" t="s">
        <v>97</v>
      </c>
      <c r="W103" s="142" t="s">
        <v>97</v>
      </c>
      <c r="X103" s="142" t="s">
        <v>97</v>
      </c>
      <c r="Y103" s="142" t="s">
        <v>97</v>
      </c>
      <c r="Z103" s="142" t="s">
        <v>97</v>
      </c>
      <c r="AA103" s="142" t="s">
        <v>97</v>
      </c>
      <c r="AB103" s="142" t="s">
        <v>97</v>
      </c>
      <c r="AC103" s="142" t="s">
        <v>97</v>
      </c>
      <c r="AD103" s="142" t="s">
        <v>97</v>
      </c>
      <c r="AE103" s="142" t="s">
        <v>97</v>
      </c>
      <c r="AF103" s="142" t="s">
        <v>97</v>
      </c>
      <c r="AG103" s="142" t="s">
        <v>97</v>
      </c>
      <c r="AH103" s="142" t="s">
        <v>97</v>
      </c>
      <c r="AI103" s="142" t="s">
        <v>97</v>
      </c>
      <c r="AJ103" s="142" t="s">
        <v>97</v>
      </c>
      <c r="AK103" s="142" t="s">
        <v>97</v>
      </c>
      <c r="AL103" s="142" t="s">
        <v>97</v>
      </c>
      <c r="AM103" s="142" t="s">
        <v>97</v>
      </c>
      <c r="AN103" s="142" t="s">
        <v>97</v>
      </c>
      <c r="AO103" s="142" t="s">
        <v>97</v>
      </c>
      <c r="AP103" s="142" t="s">
        <v>97</v>
      </c>
      <c r="AQ103" s="142" t="s">
        <v>97</v>
      </c>
      <c r="AR103" s="142" t="s">
        <v>97</v>
      </c>
      <c r="AS103" s="142" t="s">
        <v>97</v>
      </c>
      <c r="AT103" s="142" t="s">
        <v>97</v>
      </c>
      <c r="AU103" s="142" t="s">
        <v>97</v>
      </c>
      <c r="AV103" s="142" t="s">
        <v>97</v>
      </c>
      <c r="AW103" s="142" t="s">
        <v>97</v>
      </c>
      <c r="AX103" s="142" t="s">
        <v>97</v>
      </c>
      <c r="AY103" s="142" t="s">
        <v>97</v>
      </c>
      <c r="AZ103" s="142" t="s">
        <v>97</v>
      </c>
      <c r="BA103" s="142" t="s">
        <v>97</v>
      </c>
      <c r="BB103" s="142" t="s">
        <v>97</v>
      </c>
      <c r="BC103" s="142" t="s">
        <v>97</v>
      </c>
      <c r="BD103" s="142" t="s">
        <v>97</v>
      </c>
      <c r="BE103" s="142" t="s">
        <v>97</v>
      </c>
      <c r="BF103" s="142" t="s">
        <v>97</v>
      </c>
      <c r="BG103" s="142" t="s">
        <v>97</v>
      </c>
      <c r="BH103" s="142" t="s">
        <v>97</v>
      </c>
      <c r="BI103" s="142" t="s">
        <v>97</v>
      </c>
      <c r="BJ103" s="142" t="s">
        <v>97</v>
      </c>
      <c r="BK103" s="142" t="s">
        <v>97</v>
      </c>
      <c r="BL103" s="142" t="s">
        <v>97</v>
      </c>
      <c r="BM103" s="142" t="s">
        <v>97</v>
      </c>
      <c r="BN103" s="142" t="s">
        <v>97</v>
      </c>
      <c r="BO103" s="142" t="s">
        <v>97</v>
      </c>
      <c r="BP103" s="142" t="s">
        <v>97</v>
      </c>
      <c r="BQ103" s="142" t="s">
        <v>97</v>
      </c>
      <c r="BR103" s="142" t="s">
        <v>97</v>
      </c>
      <c r="BS103" s="142" t="s">
        <v>97</v>
      </c>
      <c r="BT103" s="142" t="s">
        <v>97</v>
      </c>
      <c r="BU103" s="142" t="s">
        <v>97</v>
      </c>
      <c r="BV103" s="142" t="s">
        <v>97</v>
      </c>
      <c r="BW103" s="142" t="s">
        <v>97</v>
      </c>
      <c r="BX103" s="142" t="s">
        <v>97</v>
      </c>
      <c r="BY103" s="142" t="s">
        <v>97</v>
      </c>
      <c r="BZ103" s="142" t="s">
        <v>97</v>
      </c>
      <c r="CA103" s="142" t="s">
        <v>97</v>
      </c>
      <c r="CB103" s="142" t="s">
        <v>97</v>
      </c>
      <c r="CC103" s="142" t="s">
        <v>97</v>
      </c>
      <c r="CD103" s="142" t="s">
        <v>97</v>
      </c>
      <c r="CE103" s="142" t="s">
        <v>97</v>
      </c>
      <c r="CF103" s="142" t="s">
        <v>97</v>
      </c>
      <c r="CG103" s="142" t="s">
        <v>97</v>
      </c>
      <c r="CH103" s="142" t="s">
        <v>97</v>
      </c>
      <c r="CI103" s="142" t="s">
        <v>97</v>
      </c>
      <c r="CJ103" s="142" t="s">
        <v>97</v>
      </c>
      <c r="CK103" s="142" t="s">
        <v>97</v>
      </c>
      <c r="CL103" s="142" t="s">
        <v>97</v>
      </c>
      <c r="CM103" s="142" t="s">
        <v>97</v>
      </c>
      <c r="CN103" s="142" t="s">
        <v>97</v>
      </c>
      <c r="CO103" s="142" t="s">
        <v>97</v>
      </c>
      <c r="CP103" s="142" t="s">
        <v>97</v>
      </c>
      <c r="CQ103" s="142" t="s">
        <v>97</v>
      </c>
      <c r="CR103" s="142" t="s">
        <v>97</v>
      </c>
      <c r="CS103" s="142" t="s">
        <v>97</v>
      </c>
      <c r="CT103" s="142" t="s">
        <v>97</v>
      </c>
      <c r="CU103" s="142" t="s">
        <v>97</v>
      </c>
      <c r="CV103" s="142" t="s">
        <v>97</v>
      </c>
      <c r="CW103" s="142" t="s">
        <v>97</v>
      </c>
      <c r="CX103" s="142" t="s">
        <v>97</v>
      </c>
      <c r="CY103" s="142" t="s">
        <v>97</v>
      </c>
      <c r="CZ103" s="142" t="s">
        <v>97</v>
      </c>
      <c r="DA103" s="142" t="s">
        <v>97</v>
      </c>
      <c r="DB103" s="142" t="s">
        <v>97</v>
      </c>
      <c r="DC103" s="142" t="s">
        <v>97</v>
      </c>
      <c r="DD103" s="142" t="s">
        <v>97</v>
      </c>
      <c r="DE103" s="119" t="s">
        <v>97</v>
      </c>
      <c r="DF103" s="119" t="s">
        <v>97</v>
      </c>
      <c r="DG103" s="119" t="s">
        <v>97</v>
      </c>
      <c r="DH103" s="119" t="s">
        <v>97</v>
      </c>
      <c r="DI103" s="119" t="s">
        <v>97</v>
      </c>
      <c r="DJ103" s="119" t="s">
        <v>97</v>
      </c>
      <c r="DK103" s="119" t="s">
        <v>97</v>
      </c>
      <c r="DL103" s="119" t="s">
        <v>97</v>
      </c>
      <c r="DM103" s="119" t="s">
        <v>97</v>
      </c>
      <c r="DN103" s="119" t="s">
        <v>97</v>
      </c>
      <c r="DO103" s="119" t="s">
        <v>97</v>
      </c>
      <c r="DP103" s="120" t="s">
        <v>97</v>
      </c>
      <c r="DW103" s="114" t="s">
        <v>97</v>
      </c>
      <c r="DX103" s="114" t="s">
        <v>97</v>
      </c>
      <c r="DY103" s="114" t="s">
        <v>97</v>
      </c>
      <c r="DZ103" s="114" t="s">
        <v>97</v>
      </c>
    </row>
    <row r="104" spans="1:130" s="185" customFormat="1" outlineLevel="1">
      <c r="A104" s="636"/>
      <c r="B104" s="57" t="str">
        <f t="shared" si="13"/>
        <v xml:space="preserve"> </v>
      </c>
      <c r="C104" s="57" t="str">
        <f t="shared" si="14"/>
        <v xml:space="preserve"> </v>
      </c>
      <c r="D104" s="57" t="str">
        <f t="shared" ref="D104:D122" si="15">LOOKUP(Carriere2,$G$1:$DP$1,$G104:$DP104)</f>
        <v xml:space="preserve"> </v>
      </c>
      <c r="E104" s="57" t="str">
        <f t="shared" ref="E104:E122" si="16">LOOKUP(Carriere3,$G$1:$DP$1,$G104:$DP104)</f>
        <v xml:space="preserve"> </v>
      </c>
      <c r="F104" s="636"/>
      <c r="G104" s="134" t="s">
        <v>97</v>
      </c>
      <c r="H104" s="89" t="s">
        <v>97</v>
      </c>
      <c r="I104" s="142" t="s">
        <v>97</v>
      </c>
      <c r="J104" s="142" t="s">
        <v>97</v>
      </c>
      <c r="K104" s="142" t="s">
        <v>97</v>
      </c>
      <c r="L104" s="142" t="s">
        <v>97</v>
      </c>
      <c r="M104" s="142" t="s">
        <v>97</v>
      </c>
      <c r="N104" s="142" t="s">
        <v>97</v>
      </c>
      <c r="O104" s="142" t="s">
        <v>97</v>
      </c>
      <c r="P104" s="142" t="s">
        <v>97</v>
      </c>
      <c r="Q104" s="142" t="s">
        <v>97</v>
      </c>
      <c r="R104" s="142" t="s">
        <v>97</v>
      </c>
      <c r="S104" s="142" t="s">
        <v>97</v>
      </c>
      <c r="T104" s="142" t="s">
        <v>97</v>
      </c>
      <c r="U104" s="142" t="s">
        <v>97</v>
      </c>
      <c r="V104" s="142" t="s">
        <v>97</v>
      </c>
      <c r="W104" s="142" t="s">
        <v>97</v>
      </c>
      <c r="X104" s="142" t="s">
        <v>97</v>
      </c>
      <c r="Y104" s="142" t="s">
        <v>97</v>
      </c>
      <c r="Z104" s="142" t="s">
        <v>97</v>
      </c>
      <c r="AA104" s="142" t="s">
        <v>97</v>
      </c>
      <c r="AB104" s="142" t="s">
        <v>97</v>
      </c>
      <c r="AC104" s="142" t="s">
        <v>97</v>
      </c>
      <c r="AD104" s="142" t="s">
        <v>97</v>
      </c>
      <c r="AE104" s="142" t="s">
        <v>97</v>
      </c>
      <c r="AF104" s="142" t="s">
        <v>97</v>
      </c>
      <c r="AG104" s="142" t="s">
        <v>97</v>
      </c>
      <c r="AH104" s="142" t="s">
        <v>97</v>
      </c>
      <c r="AI104" s="142" t="s">
        <v>97</v>
      </c>
      <c r="AJ104" s="142" t="s">
        <v>97</v>
      </c>
      <c r="AK104" s="142" t="s">
        <v>97</v>
      </c>
      <c r="AL104" s="142" t="s">
        <v>97</v>
      </c>
      <c r="AM104" s="142" t="s">
        <v>97</v>
      </c>
      <c r="AN104" s="142" t="s">
        <v>97</v>
      </c>
      <c r="AO104" s="142" t="s">
        <v>97</v>
      </c>
      <c r="AP104" s="142" t="s">
        <v>97</v>
      </c>
      <c r="AQ104" s="142" t="s">
        <v>97</v>
      </c>
      <c r="AR104" s="142" t="s">
        <v>97</v>
      </c>
      <c r="AS104" s="142" t="s">
        <v>97</v>
      </c>
      <c r="AT104" s="142" t="s">
        <v>97</v>
      </c>
      <c r="AU104" s="142" t="s">
        <v>97</v>
      </c>
      <c r="AV104" s="142" t="s">
        <v>97</v>
      </c>
      <c r="AW104" s="142" t="s">
        <v>97</v>
      </c>
      <c r="AX104" s="142" t="s">
        <v>97</v>
      </c>
      <c r="AY104" s="142" t="s">
        <v>97</v>
      </c>
      <c r="AZ104" s="142" t="s">
        <v>97</v>
      </c>
      <c r="BA104" s="142" t="s">
        <v>97</v>
      </c>
      <c r="BB104" s="142" t="s">
        <v>97</v>
      </c>
      <c r="BC104" s="142" t="s">
        <v>97</v>
      </c>
      <c r="BD104" s="142" t="s">
        <v>97</v>
      </c>
      <c r="BE104" s="142" t="s">
        <v>97</v>
      </c>
      <c r="BF104" s="142" t="s">
        <v>97</v>
      </c>
      <c r="BG104" s="142" t="s">
        <v>97</v>
      </c>
      <c r="BH104" s="142" t="s">
        <v>97</v>
      </c>
      <c r="BI104" s="142" t="s">
        <v>97</v>
      </c>
      <c r="BJ104" s="142" t="s">
        <v>97</v>
      </c>
      <c r="BK104" s="142" t="s">
        <v>97</v>
      </c>
      <c r="BL104" s="142" t="s">
        <v>97</v>
      </c>
      <c r="BM104" s="142" t="s">
        <v>97</v>
      </c>
      <c r="BN104" s="142" t="s">
        <v>97</v>
      </c>
      <c r="BO104" s="142" t="s">
        <v>97</v>
      </c>
      <c r="BP104" s="142" t="s">
        <v>97</v>
      </c>
      <c r="BQ104" s="142" t="s">
        <v>97</v>
      </c>
      <c r="BR104" s="142" t="s">
        <v>97</v>
      </c>
      <c r="BS104" s="142" t="s">
        <v>97</v>
      </c>
      <c r="BT104" s="142" t="s">
        <v>97</v>
      </c>
      <c r="BU104" s="142" t="s">
        <v>97</v>
      </c>
      <c r="BV104" s="142" t="s">
        <v>97</v>
      </c>
      <c r="BW104" s="142" t="s">
        <v>97</v>
      </c>
      <c r="BX104" s="142" t="s">
        <v>97</v>
      </c>
      <c r="BY104" s="142" t="s">
        <v>97</v>
      </c>
      <c r="BZ104" s="142" t="s">
        <v>97</v>
      </c>
      <c r="CA104" s="142" t="s">
        <v>97</v>
      </c>
      <c r="CB104" s="142" t="s">
        <v>97</v>
      </c>
      <c r="CC104" s="142" t="s">
        <v>97</v>
      </c>
      <c r="CD104" s="142" t="s">
        <v>97</v>
      </c>
      <c r="CE104" s="142" t="s">
        <v>97</v>
      </c>
      <c r="CF104" s="142" t="s">
        <v>97</v>
      </c>
      <c r="CG104" s="142" t="s">
        <v>97</v>
      </c>
      <c r="CH104" s="142" t="s">
        <v>97</v>
      </c>
      <c r="CI104" s="142" t="s">
        <v>97</v>
      </c>
      <c r="CJ104" s="142" t="s">
        <v>97</v>
      </c>
      <c r="CK104" s="142" t="s">
        <v>97</v>
      </c>
      <c r="CL104" s="142" t="s">
        <v>97</v>
      </c>
      <c r="CM104" s="142" t="s">
        <v>97</v>
      </c>
      <c r="CN104" s="142" t="s">
        <v>97</v>
      </c>
      <c r="CO104" s="142" t="s">
        <v>97</v>
      </c>
      <c r="CP104" s="142" t="s">
        <v>97</v>
      </c>
      <c r="CQ104" s="142" t="s">
        <v>97</v>
      </c>
      <c r="CR104" s="142" t="s">
        <v>97</v>
      </c>
      <c r="CS104" s="142" t="s">
        <v>97</v>
      </c>
      <c r="CT104" s="142" t="s">
        <v>97</v>
      </c>
      <c r="CU104" s="142" t="s">
        <v>97</v>
      </c>
      <c r="CV104" s="142" t="s">
        <v>97</v>
      </c>
      <c r="CW104" s="142" t="s">
        <v>97</v>
      </c>
      <c r="CX104" s="142" t="s">
        <v>97</v>
      </c>
      <c r="CY104" s="142" t="s">
        <v>97</v>
      </c>
      <c r="CZ104" s="142" t="s">
        <v>97</v>
      </c>
      <c r="DA104" s="142" t="s">
        <v>97</v>
      </c>
      <c r="DB104" s="142" t="s">
        <v>97</v>
      </c>
      <c r="DC104" s="142" t="s">
        <v>97</v>
      </c>
      <c r="DD104" s="142" t="s">
        <v>97</v>
      </c>
      <c r="DE104" s="119" t="s">
        <v>97</v>
      </c>
      <c r="DF104" s="119" t="s">
        <v>97</v>
      </c>
      <c r="DG104" s="119" t="s">
        <v>97</v>
      </c>
      <c r="DH104" s="119" t="s">
        <v>97</v>
      </c>
      <c r="DI104" s="119" t="s">
        <v>97</v>
      </c>
      <c r="DJ104" s="119" t="s">
        <v>97</v>
      </c>
      <c r="DK104" s="119" t="s">
        <v>97</v>
      </c>
      <c r="DL104" s="119" t="s">
        <v>97</v>
      </c>
      <c r="DM104" s="119" t="s">
        <v>97</v>
      </c>
      <c r="DN104" s="119" t="s">
        <v>97</v>
      </c>
      <c r="DO104" s="119" t="s">
        <v>97</v>
      </c>
      <c r="DP104" s="120" t="s">
        <v>97</v>
      </c>
      <c r="DW104" s="114" t="s">
        <v>97</v>
      </c>
      <c r="DX104" s="114" t="s">
        <v>97</v>
      </c>
      <c r="DY104" s="114" t="s">
        <v>97</v>
      </c>
      <c r="DZ104" s="114" t="s">
        <v>97</v>
      </c>
    </row>
    <row r="105" spans="1:130" s="185" customFormat="1" outlineLevel="1">
      <c r="A105" s="636"/>
      <c r="B105" s="57" t="str">
        <f t="shared" si="13"/>
        <v xml:space="preserve"> </v>
      </c>
      <c r="C105" s="57" t="str">
        <f t="shared" si="14"/>
        <v xml:space="preserve"> </v>
      </c>
      <c r="D105" s="57" t="str">
        <f t="shared" si="15"/>
        <v xml:space="preserve"> </v>
      </c>
      <c r="E105" s="57" t="str">
        <f t="shared" si="16"/>
        <v xml:space="preserve"> </v>
      </c>
      <c r="F105" s="636"/>
      <c r="G105" s="134" t="s">
        <v>97</v>
      </c>
      <c r="H105" s="89" t="s">
        <v>97</v>
      </c>
      <c r="I105" s="142" t="s">
        <v>97</v>
      </c>
      <c r="J105" s="142" t="s">
        <v>97</v>
      </c>
      <c r="K105" s="142" t="s">
        <v>97</v>
      </c>
      <c r="L105" s="142" t="s">
        <v>97</v>
      </c>
      <c r="M105" s="142" t="s">
        <v>97</v>
      </c>
      <c r="N105" s="142" t="s">
        <v>97</v>
      </c>
      <c r="O105" s="142" t="s">
        <v>97</v>
      </c>
      <c r="P105" s="142" t="s">
        <v>97</v>
      </c>
      <c r="Q105" s="142" t="s">
        <v>97</v>
      </c>
      <c r="R105" s="142" t="s">
        <v>97</v>
      </c>
      <c r="S105" s="142" t="s">
        <v>97</v>
      </c>
      <c r="T105" s="142" t="s">
        <v>97</v>
      </c>
      <c r="U105" s="142" t="s">
        <v>97</v>
      </c>
      <c r="V105" s="142" t="s">
        <v>97</v>
      </c>
      <c r="W105" s="142" t="s">
        <v>97</v>
      </c>
      <c r="X105" s="142" t="s">
        <v>97</v>
      </c>
      <c r="Y105" s="142" t="s">
        <v>97</v>
      </c>
      <c r="Z105" s="142" t="s">
        <v>97</v>
      </c>
      <c r="AA105" s="142" t="s">
        <v>97</v>
      </c>
      <c r="AB105" s="142" t="s">
        <v>97</v>
      </c>
      <c r="AC105" s="142" t="s">
        <v>97</v>
      </c>
      <c r="AD105" s="142" t="s">
        <v>97</v>
      </c>
      <c r="AE105" s="142" t="s">
        <v>97</v>
      </c>
      <c r="AF105" s="142" t="s">
        <v>97</v>
      </c>
      <c r="AG105" s="142" t="s">
        <v>97</v>
      </c>
      <c r="AH105" s="142" t="s">
        <v>97</v>
      </c>
      <c r="AI105" s="142" t="s">
        <v>97</v>
      </c>
      <c r="AJ105" s="142" t="s">
        <v>97</v>
      </c>
      <c r="AK105" s="142" t="s">
        <v>97</v>
      </c>
      <c r="AL105" s="142" t="s">
        <v>97</v>
      </c>
      <c r="AM105" s="142" t="s">
        <v>97</v>
      </c>
      <c r="AN105" s="142" t="s">
        <v>97</v>
      </c>
      <c r="AO105" s="142" t="s">
        <v>97</v>
      </c>
      <c r="AP105" s="142" t="s">
        <v>97</v>
      </c>
      <c r="AQ105" s="142" t="s">
        <v>97</v>
      </c>
      <c r="AR105" s="142" t="s">
        <v>97</v>
      </c>
      <c r="AS105" s="142" t="s">
        <v>97</v>
      </c>
      <c r="AT105" s="142" t="s">
        <v>97</v>
      </c>
      <c r="AU105" s="142" t="s">
        <v>97</v>
      </c>
      <c r="AV105" s="142" t="s">
        <v>97</v>
      </c>
      <c r="AW105" s="142" t="s">
        <v>97</v>
      </c>
      <c r="AX105" s="142" t="s">
        <v>97</v>
      </c>
      <c r="AY105" s="142" t="s">
        <v>97</v>
      </c>
      <c r="AZ105" s="142" t="s">
        <v>97</v>
      </c>
      <c r="BA105" s="142" t="s">
        <v>97</v>
      </c>
      <c r="BB105" s="142" t="s">
        <v>97</v>
      </c>
      <c r="BC105" s="142" t="s">
        <v>97</v>
      </c>
      <c r="BD105" s="142" t="s">
        <v>97</v>
      </c>
      <c r="BE105" s="142" t="s">
        <v>97</v>
      </c>
      <c r="BF105" s="142" t="s">
        <v>97</v>
      </c>
      <c r="BG105" s="142" t="s">
        <v>97</v>
      </c>
      <c r="BH105" s="142" t="s">
        <v>97</v>
      </c>
      <c r="BI105" s="142" t="s">
        <v>97</v>
      </c>
      <c r="BJ105" s="142" t="s">
        <v>97</v>
      </c>
      <c r="BK105" s="142" t="s">
        <v>97</v>
      </c>
      <c r="BL105" s="142" t="s">
        <v>97</v>
      </c>
      <c r="BM105" s="142" t="s">
        <v>97</v>
      </c>
      <c r="BN105" s="142" t="s">
        <v>97</v>
      </c>
      <c r="BO105" s="142" t="s">
        <v>97</v>
      </c>
      <c r="BP105" s="142" t="s">
        <v>97</v>
      </c>
      <c r="BQ105" s="142" t="s">
        <v>97</v>
      </c>
      <c r="BR105" s="142" t="s">
        <v>97</v>
      </c>
      <c r="BS105" s="142" t="s">
        <v>97</v>
      </c>
      <c r="BT105" s="142" t="s">
        <v>97</v>
      </c>
      <c r="BU105" s="142" t="s">
        <v>97</v>
      </c>
      <c r="BV105" s="142" t="s">
        <v>97</v>
      </c>
      <c r="BW105" s="142" t="s">
        <v>97</v>
      </c>
      <c r="BX105" s="142" t="s">
        <v>97</v>
      </c>
      <c r="BY105" s="142" t="s">
        <v>97</v>
      </c>
      <c r="BZ105" s="142" t="s">
        <v>97</v>
      </c>
      <c r="CA105" s="142" t="s">
        <v>97</v>
      </c>
      <c r="CB105" s="142" t="s">
        <v>97</v>
      </c>
      <c r="CC105" s="142" t="s">
        <v>97</v>
      </c>
      <c r="CD105" s="142" t="s">
        <v>97</v>
      </c>
      <c r="CE105" s="142" t="s">
        <v>97</v>
      </c>
      <c r="CF105" s="142" t="s">
        <v>97</v>
      </c>
      <c r="CG105" s="142" t="s">
        <v>97</v>
      </c>
      <c r="CH105" s="142" t="s">
        <v>97</v>
      </c>
      <c r="CI105" s="142" t="s">
        <v>97</v>
      </c>
      <c r="CJ105" s="142" t="s">
        <v>97</v>
      </c>
      <c r="CK105" s="142" t="s">
        <v>97</v>
      </c>
      <c r="CL105" s="142" t="s">
        <v>97</v>
      </c>
      <c r="CM105" s="142" t="s">
        <v>97</v>
      </c>
      <c r="CN105" s="142" t="s">
        <v>97</v>
      </c>
      <c r="CO105" s="142" t="s">
        <v>97</v>
      </c>
      <c r="CP105" s="142" t="s">
        <v>97</v>
      </c>
      <c r="CQ105" s="142" t="s">
        <v>97</v>
      </c>
      <c r="CR105" s="142" t="s">
        <v>97</v>
      </c>
      <c r="CS105" s="142" t="s">
        <v>97</v>
      </c>
      <c r="CT105" s="142" t="s">
        <v>97</v>
      </c>
      <c r="CU105" s="142" t="s">
        <v>97</v>
      </c>
      <c r="CV105" s="142" t="s">
        <v>97</v>
      </c>
      <c r="CW105" s="142" t="s">
        <v>97</v>
      </c>
      <c r="CX105" s="142" t="s">
        <v>97</v>
      </c>
      <c r="CY105" s="142" t="s">
        <v>97</v>
      </c>
      <c r="CZ105" s="142" t="s">
        <v>97</v>
      </c>
      <c r="DA105" s="142" t="s">
        <v>97</v>
      </c>
      <c r="DB105" s="142" t="s">
        <v>97</v>
      </c>
      <c r="DC105" s="142" t="s">
        <v>97</v>
      </c>
      <c r="DD105" s="142" t="s">
        <v>97</v>
      </c>
      <c r="DE105" s="119" t="s">
        <v>97</v>
      </c>
      <c r="DF105" s="119" t="s">
        <v>97</v>
      </c>
      <c r="DG105" s="119" t="s">
        <v>97</v>
      </c>
      <c r="DH105" s="119" t="s">
        <v>97</v>
      </c>
      <c r="DI105" s="119" t="s">
        <v>97</v>
      </c>
      <c r="DJ105" s="119" t="s">
        <v>97</v>
      </c>
      <c r="DK105" s="119" t="s">
        <v>97</v>
      </c>
      <c r="DL105" s="119" t="s">
        <v>97</v>
      </c>
      <c r="DM105" s="119" t="s">
        <v>97</v>
      </c>
      <c r="DN105" s="119" t="s">
        <v>97</v>
      </c>
      <c r="DO105" s="119" t="s">
        <v>97</v>
      </c>
      <c r="DP105" s="120" t="s">
        <v>97</v>
      </c>
      <c r="DW105" s="114" t="s">
        <v>97</v>
      </c>
      <c r="DX105" s="114" t="s">
        <v>97</v>
      </c>
      <c r="DY105" s="114" t="s">
        <v>97</v>
      </c>
      <c r="DZ105" s="114" t="s">
        <v>97</v>
      </c>
    </row>
    <row r="106" spans="1:130" s="185" customFormat="1" outlineLevel="1">
      <c r="A106" s="636"/>
      <c r="B106" s="57" t="str">
        <f t="shared" si="13"/>
        <v xml:space="preserve"> </v>
      </c>
      <c r="C106" s="57" t="str">
        <f t="shared" si="14"/>
        <v xml:space="preserve"> </v>
      </c>
      <c r="D106" s="57" t="str">
        <f t="shared" si="15"/>
        <v xml:space="preserve"> </v>
      </c>
      <c r="E106" s="57" t="str">
        <f t="shared" si="16"/>
        <v xml:space="preserve"> </v>
      </c>
      <c r="F106" s="636"/>
      <c r="G106" s="134" t="s">
        <v>97</v>
      </c>
      <c r="H106" s="89" t="s">
        <v>97</v>
      </c>
      <c r="I106" s="142" t="s">
        <v>97</v>
      </c>
      <c r="J106" s="142" t="s">
        <v>97</v>
      </c>
      <c r="K106" s="142" t="s">
        <v>97</v>
      </c>
      <c r="L106" s="142" t="s">
        <v>97</v>
      </c>
      <c r="M106" s="142" t="s">
        <v>97</v>
      </c>
      <c r="N106" s="142" t="s">
        <v>97</v>
      </c>
      <c r="O106" s="142" t="s">
        <v>97</v>
      </c>
      <c r="P106" s="142" t="s">
        <v>97</v>
      </c>
      <c r="Q106" s="142" t="s">
        <v>97</v>
      </c>
      <c r="R106" s="142" t="s">
        <v>97</v>
      </c>
      <c r="S106" s="142" t="s">
        <v>97</v>
      </c>
      <c r="T106" s="142" t="s">
        <v>97</v>
      </c>
      <c r="U106" s="142" t="s">
        <v>97</v>
      </c>
      <c r="V106" s="142" t="s">
        <v>97</v>
      </c>
      <c r="W106" s="142" t="s">
        <v>97</v>
      </c>
      <c r="X106" s="142" t="s">
        <v>97</v>
      </c>
      <c r="Y106" s="142" t="s">
        <v>97</v>
      </c>
      <c r="Z106" s="142" t="s">
        <v>97</v>
      </c>
      <c r="AA106" s="142" t="s">
        <v>97</v>
      </c>
      <c r="AB106" s="142" t="s">
        <v>97</v>
      </c>
      <c r="AC106" s="142" t="s">
        <v>97</v>
      </c>
      <c r="AD106" s="142" t="s">
        <v>97</v>
      </c>
      <c r="AE106" s="142" t="s">
        <v>97</v>
      </c>
      <c r="AF106" s="142" t="s">
        <v>97</v>
      </c>
      <c r="AG106" s="142" t="s">
        <v>97</v>
      </c>
      <c r="AH106" s="142" t="s">
        <v>97</v>
      </c>
      <c r="AI106" s="142" t="s">
        <v>97</v>
      </c>
      <c r="AJ106" s="142" t="s">
        <v>97</v>
      </c>
      <c r="AK106" s="142" t="s">
        <v>97</v>
      </c>
      <c r="AL106" s="142" t="s">
        <v>97</v>
      </c>
      <c r="AM106" s="142" t="s">
        <v>97</v>
      </c>
      <c r="AN106" s="142" t="s">
        <v>97</v>
      </c>
      <c r="AO106" s="142" t="s">
        <v>97</v>
      </c>
      <c r="AP106" s="142" t="s">
        <v>97</v>
      </c>
      <c r="AQ106" s="142" t="s">
        <v>97</v>
      </c>
      <c r="AR106" s="142" t="s">
        <v>97</v>
      </c>
      <c r="AS106" s="142" t="s">
        <v>97</v>
      </c>
      <c r="AT106" s="142" t="s">
        <v>97</v>
      </c>
      <c r="AU106" s="142" t="s">
        <v>97</v>
      </c>
      <c r="AV106" s="142" t="s">
        <v>97</v>
      </c>
      <c r="AW106" s="142" t="s">
        <v>97</v>
      </c>
      <c r="AX106" s="142" t="s">
        <v>97</v>
      </c>
      <c r="AY106" s="142" t="s">
        <v>97</v>
      </c>
      <c r="AZ106" s="142" t="s">
        <v>97</v>
      </c>
      <c r="BA106" s="142" t="s">
        <v>97</v>
      </c>
      <c r="BB106" s="142" t="s">
        <v>97</v>
      </c>
      <c r="BC106" s="142" t="s">
        <v>97</v>
      </c>
      <c r="BD106" s="142" t="s">
        <v>97</v>
      </c>
      <c r="BE106" s="142" t="s">
        <v>97</v>
      </c>
      <c r="BF106" s="142" t="s">
        <v>97</v>
      </c>
      <c r="BG106" s="142" t="s">
        <v>97</v>
      </c>
      <c r="BH106" s="142" t="s">
        <v>97</v>
      </c>
      <c r="BI106" s="142" t="s">
        <v>97</v>
      </c>
      <c r="BJ106" s="142" t="s">
        <v>97</v>
      </c>
      <c r="BK106" s="142" t="s">
        <v>97</v>
      </c>
      <c r="BL106" s="142" t="s">
        <v>97</v>
      </c>
      <c r="BM106" s="142" t="s">
        <v>97</v>
      </c>
      <c r="BN106" s="142" t="s">
        <v>97</v>
      </c>
      <c r="BO106" s="142" t="s">
        <v>97</v>
      </c>
      <c r="BP106" s="142" t="s">
        <v>97</v>
      </c>
      <c r="BQ106" s="142" t="s">
        <v>97</v>
      </c>
      <c r="BR106" s="142" t="s">
        <v>97</v>
      </c>
      <c r="BS106" s="142" t="s">
        <v>97</v>
      </c>
      <c r="BT106" s="142" t="s">
        <v>97</v>
      </c>
      <c r="BU106" s="142" t="s">
        <v>97</v>
      </c>
      <c r="BV106" s="142" t="s">
        <v>97</v>
      </c>
      <c r="BW106" s="142" t="s">
        <v>97</v>
      </c>
      <c r="BX106" s="142" t="s">
        <v>97</v>
      </c>
      <c r="BY106" s="142" t="s">
        <v>97</v>
      </c>
      <c r="BZ106" s="142" t="s">
        <v>97</v>
      </c>
      <c r="CA106" s="142" t="s">
        <v>97</v>
      </c>
      <c r="CB106" s="142" t="s">
        <v>97</v>
      </c>
      <c r="CC106" s="142" t="s">
        <v>97</v>
      </c>
      <c r="CD106" s="142" t="s">
        <v>97</v>
      </c>
      <c r="CE106" s="142" t="s">
        <v>97</v>
      </c>
      <c r="CF106" s="142" t="s">
        <v>97</v>
      </c>
      <c r="CG106" s="142" t="s">
        <v>97</v>
      </c>
      <c r="CH106" s="142" t="s">
        <v>97</v>
      </c>
      <c r="CI106" s="142" t="s">
        <v>97</v>
      </c>
      <c r="CJ106" s="142" t="s">
        <v>97</v>
      </c>
      <c r="CK106" s="142" t="s">
        <v>97</v>
      </c>
      <c r="CL106" s="142" t="s">
        <v>97</v>
      </c>
      <c r="CM106" s="142" t="s">
        <v>97</v>
      </c>
      <c r="CN106" s="142" t="s">
        <v>97</v>
      </c>
      <c r="CO106" s="142" t="s">
        <v>97</v>
      </c>
      <c r="CP106" s="142" t="s">
        <v>97</v>
      </c>
      <c r="CQ106" s="142" t="s">
        <v>97</v>
      </c>
      <c r="CR106" s="142" t="s">
        <v>97</v>
      </c>
      <c r="CS106" s="142" t="s">
        <v>97</v>
      </c>
      <c r="CT106" s="142" t="s">
        <v>97</v>
      </c>
      <c r="CU106" s="142" t="s">
        <v>97</v>
      </c>
      <c r="CV106" s="142" t="s">
        <v>97</v>
      </c>
      <c r="CW106" s="142" t="s">
        <v>97</v>
      </c>
      <c r="CX106" s="142" t="s">
        <v>97</v>
      </c>
      <c r="CY106" s="142" t="s">
        <v>97</v>
      </c>
      <c r="CZ106" s="142" t="s">
        <v>97</v>
      </c>
      <c r="DA106" s="142" t="s">
        <v>97</v>
      </c>
      <c r="DB106" s="142" t="s">
        <v>97</v>
      </c>
      <c r="DC106" s="142" t="s">
        <v>97</v>
      </c>
      <c r="DD106" s="142" t="s">
        <v>97</v>
      </c>
      <c r="DE106" s="119" t="s">
        <v>97</v>
      </c>
      <c r="DF106" s="119" t="s">
        <v>97</v>
      </c>
      <c r="DG106" s="119" t="s">
        <v>97</v>
      </c>
      <c r="DH106" s="119" t="s">
        <v>97</v>
      </c>
      <c r="DI106" s="119" t="s">
        <v>97</v>
      </c>
      <c r="DJ106" s="119" t="s">
        <v>97</v>
      </c>
      <c r="DK106" s="119" t="s">
        <v>97</v>
      </c>
      <c r="DL106" s="119" t="s">
        <v>97</v>
      </c>
      <c r="DM106" s="119" t="s">
        <v>97</v>
      </c>
      <c r="DN106" s="119" t="s">
        <v>97</v>
      </c>
      <c r="DO106" s="119" t="s">
        <v>97</v>
      </c>
      <c r="DP106" s="120" t="s">
        <v>97</v>
      </c>
      <c r="DW106" s="114" t="s">
        <v>97</v>
      </c>
      <c r="DX106" s="114" t="s">
        <v>97</v>
      </c>
      <c r="DY106" s="114" t="s">
        <v>97</v>
      </c>
      <c r="DZ106" s="114" t="s">
        <v>97</v>
      </c>
    </row>
    <row r="107" spans="1:130" s="185" customFormat="1" outlineLevel="1">
      <c r="A107" s="636"/>
      <c r="B107" s="57" t="str">
        <f t="shared" si="13"/>
        <v xml:space="preserve"> </v>
      </c>
      <c r="C107" s="57" t="str">
        <f t="shared" si="14"/>
        <v xml:space="preserve"> </v>
      </c>
      <c r="D107" s="57" t="str">
        <f t="shared" si="15"/>
        <v xml:space="preserve"> </v>
      </c>
      <c r="E107" s="57" t="str">
        <f t="shared" si="16"/>
        <v xml:space="preserve"> </v>
      </c>
      <c r="F107" s="636"/>
      <c r="G107" s="134" t="s">
        <v>97</v>
      </c>
      <c r="H107" s="89" t="s">
        <v>97</v>
      </c>
      <c r="I107" s="142" t="s">
        <v>97</v>
      </c>
      <c r="J107" s="142" t="s">
        <v>97</v>
      </c>
      <c r="K107" s="142" t="s">
        <v>97</v>
      </c>
      <c r="L107" s="142" t="s">
        <v>97</v>
      </c>
      <c r="M107" s="142" t="s">
        <v>97</v>
      </c>
      <c r="N107" s="142" t="s">
        <v>97</v>
      </c>
      <c r="O107" s="142" t="s">
        <v>97</v>
      </c>
      <c r="P107" s="142" t="s">
        <v>97</v>
      </c>
      <c r="Q107" s="142" t="s">
        <v>97</v>
      </c>
      <c r="R107" s="142" t="s">
        <v>97</v>
      </c>
      <c r="S107" s="142" t="s">
        <v>97</v>
      </c>
      <c r="T107" s="142" t="s">
        <v>97</v>
      </c>
      <c r="U107" s="142" t="s">
        <v>97</v>
      </c>
      <c r="V107" s="142" t="s">
        <v>97</v>
      </c>
      <c r="W107" s="142" t="s">
        <v>97</v>
      </c>
      <c r="X107" s="142" t="s">
        <v>97</v>
      </c>
      <c r="Y107" s="142" t="s">
        <v>97</v>
      </c>
      <c r="Z107" s="142" t="s">
        <v>97</v>
      </c>
      <c r="AA107" s="142" t="s">
        <v>97</v>
      </c>
      <c r="AB107" s="142" t="s">
        <v>97</v>
      </c>
      <c r="AC107" s="142" t="s">
        <v>97</v>
      </c>
      <c r="AD107" s="142" t="s">
        <v>97</v>
      </c>
      <c r="AE107" s="142" t="s">
        <v>97</v>
      </c>
      <c r="AF107" s="142" t="s">
        <v>97</v>
      </c>
      <c r="AG107" s="142" t="s">
        <v>97</v>
      </c>
      <c r="AH107" s="142" t="s">
        <v>97</v>
      </c>
      <c r="AI107" s="142" t="s">
        <v>97</v>
      </c>
      <c r="AJ107" s="142" t="s">
        <v>97</v>
      </c>
      <c r="AK107" s="142" t="s">
        <v>97</v>
      </c>
      <c r="AL107" s="142" t="s">
        <v>97</v>
      </c>
      <c r="AM107" s="142" t="s">
        <v>97</v>
      </c>
      <c r="AN107" s="142" t="s">
        <v>97</v>
      </c>
      <c r="AO107" s="142" t="s">
        <v>97</v>
      </c>
      <c r="AP107" s="142" t="s">
        <v>97</v>
      </c>
      <c r="AQ107" s="142" t="s">
        <v>97</v>
      </c>
      <c r="AR107" s="142" t="s">
        <v>97</v>
      </c>
      <c r="AS107" s="142" t="s">
        <v>97</v>
      </c>
      <c r="AT107" s="142" t="s">
        <v>97</v>
      </c>
      <c r="AU107" s="142" t="s">
        <v>97</v>
      </c>
      <c r="AV107" s="142" t="s">
        <v>97</v>
      </c>
      <c r="AW107" s="142" t="s">
        <v>97</v>
      </c>
      <c r="AX107" s="142" t="s">
        <v>97</v>
      </c>
      <c r="AY107" s="142" t="s">
        <v>97</v>
      </c>
      <c r="AZ107" s="142" t="s">
        <v>97</v>
      </c>
      <c r="BA107" s="142" t="s">
        <v>97</v>
      </c>
      <c r="BB107" s="142" t="s">
        <v>97</v>
      </c>
      <c r="BC107" s="142" t="s">
        <v>97</v>
      </c>
      <c r="BD107" s="142" t="s">
        <v>97</v>
      </c>
      <c r="BE107" s="142" t="s">
        <v>97</v>
      </c>
      <c r="BF107" s="142" t="s">
        <v>97</v>
      </c>
      <c r="BG107" s="142" t="s">
        <v>97</v>
      </c>
      <c r="BH107" s="142" t="s">
        <v>97</v>
      </c>
      <c r="BI107" s="142" t="s">
        <v>97</v>
      </c>
      <c r="BJ107" s="142" t="s">
        <v>97</v>
      </c>
      <c r="BK107" s="142" t="s">
        <v>97</v>
      </c>
      <c r="BL107" s="142" t="s">
        <v>97</v>
      </c>
      <c r="BM107" s="142" t="s">
        <v>97</v>
      </c>
      <c r="BN107" s="142" t="s">
        <v>97</v>
      </c>
      <c r="BO107" s="142" t="s">
        <v>97</v>
      </c>
      <c r="BP107" s="142" t="s">
        <v>97</v>
      </c>
      <c r="BQ107" s="142" t="s">
        <v>97</v>
      </c>
      <c r="BR107" s="142" t="s">
        <v>97</v>
      </c>
      <c r="BS107" s="142" t="s">
        <v>97</v>
      </c>
      <c r="BT107" s="142" t="s">
        <v>97</v>
      </c>
      <c r="BU107" s="142" t="s">
        <v>97</v>
      </c>
      <c r="BV107" s="142" t="s">
        <v>97</v>
      </c>
      <c r="BW107" s="142" t="s">
        <v>97</v>
      </c>
      <c r="BX107" s="142" t="s">
        <v>97</v>
      </c>
      <c r="BY107" s="142" t="s">
        <v>97</v>
      </c>
      <c r="BZ107" s="142" t="s">
        <v>97</v>
      </c>
      <c r="CA107" s="142" t="s">
        <v>97</v>
      </c>
      <c r="CB107" s="142" t="s">
        <v>97</v>
      </c>
      <c r="CC107" s="142" t="s">
        <v>97</v>
      </c>
      <c r="CD107" s="142" t="s">
        <v>97</v>
      </c>
      <c r="CE107" s="142" t="s">
        <v>97</v>
      </c>
      <c r="CF107" s="142" t="s">
        <v>97</v>
      </c>
      <c r="CG107" s="142" t="s">
        <v>97</v>
      </c>
      <c r="CH107" s="142" t="s">
        <v>97</v>
      </c>
      <c r="CI107" s="142" t="s">
        <v>97</v>
      </c>
      <c r="CJ107" s="142" t="s">
        <v>97</v>
      </c>
      <c r="CK107" s="142" t="s">
        <v>97</v>
      </c>
      <c r="CL107" s="142" t="s">
        <v>97</v>
      </c>
      <c r="CM107" s="142" t="s">
        <v>97</v>
      </c>
      <c r="CN107" s="142" t="s">
        <v>97</v>
      </c>
      <c r="CO107" s="142" t="s">
        <v>97</v>
      </c>
      <c r="CP107" s="142" t="s">
        <v>97</v>
      </c>
      <c r="CQ107" s="142" t="s">
        <v>97</v>
      </c>
      <c r="CR107" s="142" t="s">
        <v>97</v>
      </c>
      <c r="CS107" s="142" t="s">
        <v>97</v>
      </c>
      <c r="CT107" s="142" t="s">
        <v>97</v>
      </c>
      <c r="CU107" s="142" t="s">
        <v>97</v>
      </c>
      <c r="CV107" s="142" t="s">
        <v>97</v>
      </c>
      <c r="CW107" s="142" t="s">
        <v>97</v>
      </c>
      <c r="CX107" s="142" t="s">
        <v>97</v>
      </c>
      <c r="CY107" s="142" t="s">
        <v>97</v>
      </c>
      <c r="CZ107" s="142" t="s">
        <v>97</v>
      </c>
      <c r="DA107" s="142" t="s">
        <v>97</v>
      </c>
      <c r="DB107" s="142" t="s">
        <v>97</v>
      </c>
      <c r="DC107" s="142" t="s">
        <v>97</v>
      </c>
      <c r="DD107" s="142" t="s">
        <v>97</v>
      </c>
      <c r="DE107" s="119" t="s">
        <v>97</v>
      </c>
      <c r="DF107" s="119" t="s">
        <v>97</v>
      </c>
      <c r="DG107" s="119" t="s">
        <v>97</v>
      </c>
      <c r="DH107" s="119" t="s">
        <v>97</v>
      </c>
      <c r="DI107" s="119" t="s">
        <v>97</v>
      </c>
      <c r="DJ107" s="119" t="s">
        <v>97</v>
      </c>
      <c r="DK107" s="119" t="s">
        <v>97</v>
      </c>
      <c r="DL107" s="119" t="s">
        <v>97</v>
      </c>
      <c r="DM107" s="119" t="s">
        <v>97</v>
      </c>
      <c r="DN107" s="119" t="s">
        <v>97</v>
      </c>
      <c r="DO107" s="119" t="s">
        <v>97</v>
      </c>
      <c r="DP107" s="120" t="s">
        <v>97</v>
      </c>
      <c r="DW107" s="114" t="s">
        <v>97</v>
      </c>
      <c r="DX107" s="114" t="s">
        <v>97</v>
      </c>
      <c r="DY107" s="114" t="s">
        <v>97</v>
      </c>
      <c r="DZ107" s="114" t="s">
        <v>97</v>
      </c>
    </row>
    <row r="108" spans="1:130" s="185" customFormat="1" outlineLevel="1">
      <c r="A108" s="636"/>
      <c r="B108" s="57" t="str">
        <f t="shared" si="13"/>
        <v xml:space="preserve"> </v>
      </c>
      <c r="C108" s="57" t="str">
        <f t="shared" si="14"/>
        <v xml:space="preserve"> </v>
      </c>
      <c r="D108" s="57" t="str">
        <f t="shared" si="15"/>
        <v xml:space="preserve"> </v>
      </c>
      <c r="E108" s="57" t="str">
        <f t="shared" si="16"/>
        <v xml:space="preserve"> </v>
      </c>
      <c r="F108" s="636"/>
      <c r="G108" s="134" t="s">
        <v>97</v>
      </c>
      <c r="H108" s="89" t="s">
        <v>97</v>
      </c>
      <c r="I108" s="142" t="s">
        <v>97</v>
      </c>
      <c r="J108" s="142" t="s">
        <v>97</v>
      </c>
      <c r="K108" s="142" t="s">
        <v>97</v>
      </c>
      <c r="L108" s="142" t="s">
        <v>97</v>
      </c>
      <c r="M108" s="142" t="s">
        <v>97</v>
      </c>
      <c r="N108" s="142" t="s">
        <v>97</v>
      </c>
      <c r="O108" s="142" t="s">
        <v>97</v>
      </c>
      <c r="P108" s="142" t="s">
        <v>97</v>
      </c>
      <c r="Q108" s="142" t="s">
        <v>97</v>
      </c>
      <c r="R108" s="142" t="s">
        <v>97</v>
      </c>
      <c r="S108" s="142" t="s">
        <v>97</v>
      </c>
      <c r="T108" s="142" t="s">
        <v>97</v>
      </c>
      <c r="U108" s="142" t="s">
        <v>97</v>
      </c>
      <c r="V108" s="142" t="s">
        <v>97</v>
      </c>
      <c r="W108" s="142" t="s">
        <v>97</v>
      </c>
      <c r="X108" s="142" t="s">
        <v>97</v>
      </c>
      <c r="Y108" s="142" t="s">
        <v>97</v>
      </c>
      <c r="Z108" s="142" t="s">
        <v>97</v>
      </c>
      <c r="AA108" s="142" t="s">
        <v>97</v>
      </c>
      <c r="AB108" s="142" t="s">
        <v>97</v>
      </c>
      <c r="AC108" s="142" t="s">
        <v>97</v>
      </c>
      <c r="AD108" s="142" t="s">
        <v>97</v>
      </c>
      <c r="AE108" s="142" t="s">
        <v>97</v>
      </c>
      <c r="AF108" s="142" t="s">
        <v>97</v>
      </c>
      <c r="AG108" s="142" t="s">
        <v>97</v>
      </c>
      <c r="AH108" s="142" t="s">
        <v>97</v>
      </c>
      <c r="AI108" s="142" t="s">
        <v>97</v>
      </c>
      <c r="AJ108" s="142" t="s">
        <v>97</v>
      </c>
      <c r="AK108" s="142" t="s">
        <v>97</v>
      </c>
      <c r="AL108" s="142" t="s">
        <v>97</v>
      </c>
      <c r="AM108" s="142" t="s">
        <v>97</v>
      </c>
      <c r="AN108" s="142" t="s">
        <v>97</v>
      </c>
      <c r="AO108" s="142" t="s">
        <v>97</v>
      </c>
      <c r="AP108" s="142" t="s">
        <v>97</v>
      </c>
      <c r="AQ108" s="142" t="s">
        <v>97</v>
      </c>
      <c r="AR108" s="142" t="s">
        <v>97</v>
      </c>
      <c r="AS108" s="142" t="s">
        <v>97</v>
      </c>
      <c r="AT108" s="142" t="s">
        <v>97</v>
      </c>
      <c r="AU108" s="142" t="s">
        <v>97</v>
      </c>
      <c r="AV108" s="142" t="s">
        <v>97</v>
      </c>
      <c r="AW108" s="142" t="s">
        <v>97</v>
      </c>
      <c r="AX108" s="142" t="s">
        <v>97</v>
      </c>
      <c r="AY108" s="142" t="s">
        <v>97</v>
      </c>
      <c r="AZ108" s="142" t="s">
        <v>97</v>
      </c>
      <c r="BA108" s="142" t="s">
        <v>97</v>
      </c>
      <c r="BB108" s="142" t="s">
        <v>97</v>
      </c>
      <c r="BC108" s="142" t="s">
        <v>97</v>
      </c>
      <c r="BD108" s="142" t="s">
        <v>97</v>
      </c>
      <c r="BE108" s="142" t="s">
        <v>97</v>
      </c>
      <c r="BF108" s="142" t="s">
        <v>97</v>
      </c>
      <c r="BG108" s="142" t="s">
        <v>97</v>
      </c>
      <c r="BH108" s="142" t="s">
        <v>97</v>
      </c>
      <c r="BI108" s="142" t="s">
        <v>97</v>
      </c>
      <c r="BJ108" s="142" t="s">
        <v>97</v>
      </c>
      <c r="BK108" s="142" t="s">
        <v>97</v>
      </c>
      <c r="BL108" s="142" t="s">
        <v>97</v>
      </c>
      <c r="BM108" s="142" t="s">
        <v>97</v>
      </c>
      <c r="BN108" s="142" t="s">
        <v>97</v>
      </c>
      <c r="BO108" s="142" t="s">
        <v>97</v>
      </c>
      <c r="BP108" s="142" t="s">
        <v>97</v>
      </c>
      <c r="BQ108" s="142" t="s">
        <v>97</v>
      </c>
      <c r="BR108" s="142" t="s">
        <v>97</v>
      </c>
      <c r="BS108" s="142" t="s">
        <v>97</v>
      </c>
      <c r="BT108" s="142" t="s">
        <v>97</v>
      </c>
      <c r="BU108" s="142" t="s">
        <v>97</v>
      </c>
      <c r="BV108" s="142" t="s">
        <v>97</v>
      </c>
      <c r="BW108" s="142" t="s">
        <v>97</v>
      </c>
      <c r="BX108" s="142" t="s">
        <v>97</v>
      </c>
      <c r="BY108" s="142" t="s">
        <v>97</v>
      </c>
      <c r="BZ108" s="142" t="s">
        <v>97</v>
      </c>
      <c r="CA108" s="142" t="s">
        <v>97</v>
      </c>
      <c r="CB108" s="142" t="s">
        <v>97</v>
      </c>
      <c r="CC108" s="142" t="s">
        <v>97</v>
      </c>
      <c r="CD108" s="142" t="s">
        <v>97</v>
      </c>
      <c r="CE108" s="142" t="s">
        <v>97</v>
      </c>
      <c r="CF108" s="142" t="s">
        <v>97</v>
      </c>
      <c r="CG108" s="142" t="s">
        <v>97</v>
      </c>
      <c r="CH108" s="142" t="s">
        <v>97</v>
      </c>
      <c r="CI108" s="142" t="s">
        <v>97</v>
      </c>
      <c r="CJ108" s="142" t="s">
        <v>97</v>
      </c>
      <c r="CK108" s="142" t="s">
        <v>97</v>
      </c>
      <c r="CL108" s="142" t="s">
        <v>97</v>
      </c>
      <c r="CM108" s="142" t="s">
        <v>97</v>
      </c>
      <c r="CN108" s="142" t="s">
        <v>97</v>
      </c>
      <c r="CO108" s="142" t="s">
        <v>97</v>
      </c>
      <c r="CP108" s="142" t="s">
        <v>97</v>
      </c>
      <c r="CQ108" s="142" t="s">
        <v>97</v>
      </c>
      <c r="CR108" s="142" t="s">
        <v>97</v>
      </c>
      <c r="CS108" s="142" t="s">
        <v>97</v>
      </c>
      <c r="CT108" s="142" t="s">
        <v>97</v>
      </c>
      <c r="CU108" s="142" t="s">
        <v>97</v>
      </c>
      <c r="CV108" s="142" t="s">
        <v>97</v>
      </c>
      <c r="CW108" s="142" t="s">
        <v>97</v>
      </c>
      <c r="CX108" s="142" t="s">
        <v>97</v>
      </c>
      <c r="CY108" s="142" t="s">
        <v>97</v>
      </c>
      <c r="CZ108" s="142" t="s">
        <v>97</v>
      </c>
      <c r="DA108" s="142" t="s">
        <v>97</v>
      </c>
      <c r="DB108" s="142" t="s">
        <v>97</v>
      </c>
      <c r="DC108" s="142" t="s">
        <v>97</v>
      </c>
      <c r="DD108" s="142" t="s">
        <v>97</v>
      </c>
      <c r="DE108" s="119" t="s">
        <v>97</v>
      </c>
      <c r="DF108" s="119" t="s">
        <v>97</v>
      </c>
      <c r="DG108" s="119" t="s">
        <v>97</v>
      </c>
      <c r="DH108" s="119" t="s">
        <v>97</v>
      </c>
      <c r="DI108" s="119" t="s">
        <v>97</v>
      </c>
      <c r="DJ108" s="119" t="s">
        <v>97</v>
      </c>
      <c r="DK108" s="119" t="s">
        <v>97</v>
      </c>
      <c r="DL108" s="119" t="s">
        <v>97</v>
      </c>
      <c r="DM108" s="119" t="s">
        <v>97</v>
      </c>
      <c r="DN108" s="119" t="s">
        <v>97</v>
      </c>
      <c r="DO108" s="119" t="s">
        <v>97</v>
      </c>
      <c r="DP108" s="120" t="s">
        <v>97</v>
      </c>
      <c r="DW108" s="114" t="s">
        <v>97</v>
      </c>
      <c r="DX108" s="114" t="s">
        <v>97</v>
      </c>
      <c r="DY108" s="114" t="s">
        <v>97</v>
      </c>
      <c r="DZ108" s="114" t="s">
        <v>97</v>
      </c>
    </row>
    <row r="109" spans="1:130" s="185" customFormat="1" outlineLevel="1">
      <c r="A109" s="636"/>
      <c r="B109" s="57" t="str">
        <f t="shared" si="13"/>
        <v xml:space="preserve"> </v>
      </c>
      <c r="C109" s="57" t="str">
        <f t="shared" si="14"/>
        <v xml:space="preserve"> </v>
      </c>
      <c r="D109" s="57" t="str">
        <f t="shared" si="15"/>
        <v xml:space="preserve"> </v>
      </c>
      <c r="E109" s="57" t="str">
        <f t="shared" si="16"/>
        <v xml:space="preserve"> </v>
      </c>
      <c r="F109" s="636"/>
      <c r="G109" s="134" t="s">
        <v>97</v>
      </c>
      <c r="H109" s="89" t="s">
        <v>97</v>
      </c>
      <c r="I109" s="142" t="s">
        <v>97</v>
      </c>
      <c r="J109" s="142" t="s">
        <v>97</v>
      </c>
      <c r="K109" s="142" t="s">
        <v>97</v>
      </c>
      <c r="L109" s="142" t="s">
        <v>97</v>
      </c>
      <c r="M109" s="142" t="s">
        <v>97</v>
      </c>
      <c r="N109" s="142" t="s">
        <v>97</v>
      </c>
      <c r="O109" s="142" t="s">
        <v>97</v>
      </c>
      <c r="P109" s="142" t="s">
        <v>97</v>
      </c>
      <c r="Q109" s="142" t="s">
        <v>97</v>
      </c>
      <c r="R109" s="142" t="s">
        <v>97</v>
      </c>
      <c r="S109" s="142" t="s">
        <v>97</v>
      </c>
      <c r="T109" s="142" t="s">
        <v>97</v>
      </c>
      <c r="U109" s="142" t="s">
        <v>97</v>
      </c>
      <c r="V109" s="142" t="s">
        <v>97</v>
      </c>
      <c r="W109" s="142" t="s">
        <v>97</v>
      </c>
      <c r="X109" s="142" t="s">
        <v>97</v>
      </c>
      <c r="Y109" s="142" t="s">
        <v>97</v>
      </c>
      <c r="Z109" s="142" t="s">
        <v>97</v>
      </c>
      <c r="AA109" s="142" t="s">
        <v>97</v>
      </c>
      <c r="AB109" s="142" t="s">
        <v>97</v>
      </c>
      <c r="AC109" s="142" t="s">
        <v>97</v>
      </c>
      <c r="AD109" s="142" t="s">
        <v>97</v>
      </c>
      <c r="AE109" s="142" t="s">
        <v>97</v>
      </c>
      <c r="AF109" s="142" t="s">
        <v>97</v>
      </c>
      <c r="AG109" s="142" t="s">
        <v>97</v>
      </c>
      <c r="AH109" s="142" t="s">
        <v>97</v>
      </c>
      <c r="AI109" s="142" t="s">
        <v>97</v>
      </c>
      <c r="AJ109" s="142" t="s">
        <v>97</v>
      </c>
      <c r="AK109" s="142" t="s">
        <v>97</v>
      </c>
      <c r="AL109" s="142" t="s">
        <v>97</v>
      </c>
      <c r="AM109" s="142" t="s">
        <v>97</v>
      </c>
      <c r="AN109" s="142" t="s">
        <v>97</v>
      </c>
      <c r="AO109" s="142" t="s">
        <v>97</v>
      </c>
      <c r="AP109" s="142" t="s">
        <v>97</v>
      </c>
      <c r="AQ109" s="142" t="s">
        <v>97</v>
      </c>
      <c r="AR109" s="142" t="s">
        <v>97</v>
      </c>
      <c r="AS109" s="142" t="s">
        <v>97</v>
      </c>
      <c r="AT109" s="142" t="s">
        <v>97</v>
      </c>
      <c r="AU109" s="142" t="s">
        <v>97</v>
      </c>
      <c r="AV109" s="142" t="s">
        <v>97</v>
      </c>
      <c r="AW109" s="142" t="s">
        <v>97</v>
      </c>
      <c r="AX109" s="142" t="s">
        <v>97</v>
      </c>
      <c r="AY109" s="142" t="s">
        <v>97</v>
      </c>
      <c r="AZ109" s="142" t="s">
        <v>97</v>
      </c>
      <c r="BA109" s="142" t="s">
        <v>97</v>
      </c>
      <c r="BB109" s="142" t="s">
        <v>97</v>
      </c>
      <c r="BC109" s="142" t="s">
        <v>97</v>
      </c>
      <c r="BD109" s="142" t="s">
        <v>97</v>
      </c>
      <c r="BE109" s="142" t="s">
        <v>97</v>
      </c>
      <c r="BF109" s="142" t="s">
        <v>97</v>
      </c>
      <c r="BG109" s="142" t="s">
        <v>97</v>
      </c>
      <c r="BH109" s="142" t="s">
        <v>97</v>
      </c>
      <c r="BI109" s="142" t="s">
        <v>97</v>
      </c>
      <c r="BJ109" s="142" t="s">
        <v>97</v>
      </c>
      <c r="BK109" s="142" t="s">
        <v>97</v>
      </c>
      <c r="BL109" s="142" t="s">
        <v>97</v>
      </c>
      <c r="BM109" s="142" t="s">
        <v>97</v>
      </c>
      <c r="BN109" s="142" t="s">
        <v>97</v>
      </c>
      <c r="BO109" s="142" t="s">
        <v>97</v>
      </c>
      <c r="BP109" s="142" t="s">
        <v>97</v>
      </c>
      <c r="BQ109" s="142" t="s">
        <v>97</v>
      </c>
      <c r="BR109" s="142" t="s">
        <v>97</v>
      </c>
      <c r="BS109" s="142" t="s">
        <v>97</v>
      </c>
      <c r="BT109" s="142" t="s">
        <v>97</v>
      </c>
      <c r="BU109" s="142" t="s">
        <v>97</v>
      </c>
      <c r="BV109" s="142" t="s">
        <v>97</v>
      </c>
      <c r="BW109" s="142" t="s">
        <v>97</v>
      </c>
      <c r="BX109" s="142" t="s">
        <v>97</v>
      </c>
      <c r="BY109" s="142" t="s">
        <v>97</v>
      </c>
      <c r="BZ109" s="142" t="s">
        <v>97</v>
      </c>
      <c r="CA109" s="142" t="s">
        <v>97</v>
      </c>
      <c r="CB109" s="142" t="s">
        <v>97</v>
      </c>
      <c r="CC109" s="142" t="s">
        <v>97</v>
      </c>
      <c r="CD109" s="142" t="s">
        <v>97</v>
      </c>
      <c r="CE109" s="142" t="s">
        <v>97</v>
      </c>
      <c r="CF109" s="142" t="s">
        <v>97</v>
      </c>
      <c r="CG109" s="142" t="s">
        <v>97</v>
      </c>
      <c r="CH109" s="142" t="s">
        <v>97</v>
      </c>
      <c r="CI109" s="142" t="s">
        <v>97</v>
      </c>
      <c r="CJ109" s="142" t="s">
        <v>97</v>
      </c>
      <c r="CK109" s="142" t="s">
        <v>97</v>
      </c>
      <c r="CL109" s="142" t="s">
        <v>97</v>
      </c>
      <c r="CM109" s="142" t="s">
        <v>97</v>
      </c>
      <c r="CN109" s="142" t="s">
        <v>97</v>
      </c>
      <c r="CO109" s="142" t="s">
        <v>97</v>
      </c>
      <c r="CP109" s="142" t="s">
        <v>97</v>
      </c>
      <c r="CQ109" s="142" t="s">
        <v>97</v>
      </c>
      <c r="CR109" s="142" t="s">
        <v>97</v>
      </c>
      <c r="CS109" s="142" t="s">
        <v>97</v>
      </c>
      <c r="CT109" s="142" t="s">
        <v>97</v>
      </c>
      <c r="CU109" s="142" t="s">
        <v>97</v>
      </c>
      <c r="CV109" s="142" t="s">
        <v>97</v>
      </c>
      <c r="CW109" s="142" t="s">
        <v>97</v>
      </c>
      <c r="CX109" s="142" t="s">
        <v>97</v>
      </c>
      <c r="CY109" s="142" t="s">
        <v>97</v>
      </c>
      <c r="CZ109" s="142" t="s">
        <v>97</v>
      </c>
      <c r="DA109" s="142" t="s">
        <v>97</v>
      </c>
      <c r="DB109" s="142" t="s">
        <v>97</v>
      </c>
      <c r="DC109" s="142" t="s">
        <v>97</v>
      </c>
      <c r="DD109" s="142" t="s">
        <v>97</v>
      </c>
      <c r="DE109" s="119" t="s">
        <v>97</v>
      </c>
      <c r="DF109" s="119" t="s">
        <v>97</v>
      </c>
      <c r="DG109" s="119" t="s">
        <v>97</v>
      </c>
      <c r="DH109" s="119" t="s">
        <v>97</v>
      </c>
      <c r="DI109" s="119" t="s">
        <v>97</v>
      </c>
      <c r="DJ109" s="119" t="s">
        <v>97</v>
      </c>
      <c r="DK109" s="119" t="s">
        <v>97</v>
      </c>
      <c r="DL109" s="119" t="s">
        <v>97</v>
      </c>
      <c r="DM109" s="119" t="s">
        <v>97</v>
      </c>
      <c r="DN109" s="119" t="s">
        <v>97</v>
      </c>
      <c r="DO109" s="119" t="s">
        <v>97</v>
      </c>
      <c r="DP109" s="120" t="s">
        <v>97</v>
      </c>
      <c r="DW109" s="114" t="s">
        <v>97</v>
      </c>
      <c r="DX109" s="114" t="s">
        <v>97</v>
      </c>
      <c r="DY109" s="114" t="s">
        <v>97</v>
      </c>
      <c r="DZ109" s="114" t="s">
        <v>97</v>
      </c>
    </row>
    <row r="110" spans="1:130" s="185" customFormat="1" outlineLevel="1">
      <c r="A110" s="636"/>
      <c r="B110" s="57" t="str">
        <f t="shared" si="13"/>
        <v xml:space="preserve"> </v>
      </c>
      <c r="C110" s="57" t="str">
        <f t="shared" si="14"/>
        <v xml:space="preserve"> </v>
      </c>
      <c r="D110" s="57" t="str">
        <f t="shared" si="15"/>
        <v xml:space="preserve"> </v>
      </c>
      <c r="E110" s="57" t="str">
        <f t="shared" si="16"/>
        <v xml:space="preserve"> </v>
      </c>
      <c r="F110" s="636"/>
      <c r="G110" s="134" t="s">
        <v>97</v>
      </c>
      <c r="H110" s="89" t="s">
        <v>97</v>
      </c>
      <c r="I110" s="142" t="s">
        <v>97</v>
      </c>
      <c r="J110" s="142" t="s">
        <v>97</v>
      </c>
      <c r="K110" s="142" t="s">
        <v>97</v>
      </c>
      <c r="L110" s="142" t="s">
        <v>97</v>
      </c>
      <c r="M110" s="142" t="s">
        <v>97</v>
      </c>
      <c r="N110" s="142" t="s">
        <v>97</v>
      </c>
      <c r="O110" s="142" t="s">
        <v>97</v>
      </c>
      <c r="P110" s="142" t="s">
        <v>97</v>
      </c>
      <c r="Q110" s="142" t="s">
        <v>97</v>
      </c>
      <c r="R110" s="142" t="s">
        <v>97</v>
      </c>
      <c r="S110" s="142" t="s">
        <v>97</v>
      </c>
      <c r="T110" s="142" t="s">
        <v>97</v>
      </c>
      <c r="U110" s="142" t="s">
        <v>97</v>
      </c>
      <c r="V110" s="142" t="s">
        <v>97</v>
      </c>
      <c r="W110" s="142" t="s">
        <v>97</v>
      </c>
      <c r="X110" s="142" t="s">
        <v>97</v>
      </c>
      <c r="Y110" s="142" t="s">
        <v>97</v>
      </c>
      <c r="Z110" s="142" t="s">
        <v>97</v>
      </c>
      <c r="AA110" s="142" t="s">
        <v>97</v>
      </c>
      <c r="AB110" s="142" t="s">
        <v>97</v>
      </c>
      <c r="AC110" s="142" t="s">
        <v>97</v>
      </c>
      <c r="AD110" s="142" t="s">
        <v>97</v>
      </c>
      <c r="AE110" s="142" t="s">
        <v>97</v>
      </c>
      <c r="AF110" s="142" t="s">
        <v>97</v>
      </c>
      <c r="AG110" s="142" t="s">
        <v>97</v>
      </c>
      <c r="AH110" s="142" t="s">
        <v>97</v>
      </c>
      <c r="AI110" s="142" t="s">
        <v>97</v>
      </c>
      <c r="AJ110" s="142" t="s">
        <v>97</v>
      </c>
      <c r="AK110" s="142" t="s">
        <v>97</v>
      </c>
      <c r="AL110" s="142" t="s">
        <v>97</v>
      </c>
      <c r="AM110" s="142" t="s">
        <v>97</v>
      </c>
      <c r="AN110" s="142" t="s">
        <v>97</v>
      </c>
      <c r="AO110" s="142" t="s">
        <v>97</v>
      </c>
      <c r="AP110" s="142" t="s">
        <v>97</v>
      </c>
      <c r="AQ110" s="142" t="s">
        <v>97</v>
      </c>
      <c r="AR110" s="142" t="s">
        <v>97</v>
      </c>
      <c r="AS110" s="142" t="s">
        <v>97</v>
      </c>
      <c r="AT110" s="142" t="s">
        <v>97</v>
      </c>
      <c r="AU110" s="142" t="s">
        <v>97</v>
      </c>
      <c r="AV110" s="142" t="s">
        <v>97</v>
      </c>
      <c r="AW110" s="142" t="s">
        <v>97</v>
      </c>
      <c r="AX110" s="142" t="s">
        <v>97</v>
      </c>
      <c r="AY110" s="142" t="s">
        <v>97</v>
      </c>
      <c r="AZ110" s="142" t="s">
        <v>97</v>
      </c>
      <c r="BA110" s="142" t="s">
        <v>97</v>
      </c>
      <c r="BB110" s="142" t="s">
        <v>97</v>
      </c>
      <c r="BC110" s="142" t="s">
        <v>97</v>
      </c>
      <c r="BD110" s="142" t="s">
        <v>97</v>
      </c>
      <c r="BE110" s="142" t="s">
        <v>97</v>
      </c>
      <c r="BF110" s="142" t="s">
        <v>97</v>
      </c>
      <c r="BG110" s="142" t="s">
        <v>97</v>
      </c>
      <c r="BH110" s="142" t="s">
        <v>97</v>
      </c>
      <c r="BI110" s="142" t="s">
        <v>97</v>
      </c>
      <c r="BJ110" s="142" t="s">
        <v>97</v>
      </c>
      <c r="BK110" s="142" t="s">
        <v>97</v>
      </c>
      <c r="BL110" s="142" t="s">
        <v>97</v>
      </c>
      <c r="BM110" s="142" t="s">
        <v>97</v>
      </c>
      <c r="BN110" s="142" t="s">
        <v>97</v>
      </c>
      <c r="BO110" s="142" t="s">
        <v>97</v>
      </c>
      <c r="BP110" s="142" t="s">
        <v>97</v>
      </c>
      <c r="BQ110" s="142" t="s">
        <v>97</v>
      </c>
      <c r="BR110" s="142" t="s">
        <v>97</v>
      </c>
      <c r="BS110" s="142" t="s">
        <v>97</v>
      </c>
      <c r="BT110" s="142" t="s">
        <v>97</v>
      </c>
      <c r="BU110" s="142" t="s">
        <v>97</v>
      </c>
      <c r="BV110" s="142" t="s">
        <v>97</v>
      </c>
      <c r="BW110" s="142" t="s">
        <v>97</v>
      </c>
      <c r="BX110" s="142" t="s">
        <v>97</v>
      </c>
      <c r="BY110" s="142" t="s">
        <v>97</v>
      </c>
      <c r="BZ110" s="142" t="s">
        <v>97</v>
      </c>
      <c r="CA110" s="142" t="s">
        <v>97</v>
      </c>
      <c r="CB110" s="142" t="s">
        <v>97</v>
      </c>
      <c r="CC110" s="142" t="s">
        <v>97</v>
      </c>
      <c r="CD110" s="142" t="s">
        <v>97</v>
      </c>
      <c r="CE110" s="142" t="s">
        <v>97</v>
      </c>
      <c r="CF110" s="142" t="s">
        <v>97</v>
      </c>
      <c r="CG110" s="142" t="s">
        <v>97</v>
      </c>
      <c r="CH110" s="142" t="s">
        <v>97</v>
      </c>
      <c r="CI110" s="142" t="s">
        <v>97</v>
      </c>
      <c r="CJ110" s="142" t="s">
        <v>97</v>
      </c>
      <c r="CK110" s="142" t="s">
        <v>97</v>
      </c>
      <c r="CL110" s="142" t="s">
        <v>97</v>
      </c>
      <c r="CM110" s="142" t="s">
        <v>97</v>
      </c>
      <c r="CN110" s="142" t="s">
        <v>97</v>
      </c>
      <c r="CO110" s="142" t="s">
        <v>97</v>
      </c>
      <c r="CP110" s="142" t="s">
        <v>97</v>
      </c>
      <c r="CQ110" s="142" t="s">
        <v>97</v>
      </c>
      <c r="CR110" s="142" t="s">
        <v>97</v>
      </c>
      <c r="CS110" s="142" t="s">
        <v>97</v>
      </c>
      <c r="CT110" s="142" t="s">
        <v>97</v>
      </c>
      <c r="CU110" s="142" t="s">
        <v>97</v>
      </c>
      <c r="CV110" s="142" t="s">
        <v>97</v>
      </c>
      <c r="CW110" s="142" t="s">
        <v>97</v>
      </c>
      <c r="CX110" s="142" t="s">
        <v>97</v>
      </c>
      <c r="CY110" s="142" t="s">
        <v>97</v>
      </c>
      <c r="CZ110" s="142" t="s">
        <v>97</v>
      </c>
      <c r="DA110" s="142" t="s">
        <v>97</v>
      </c>
      <c r="DB110" s="142" t="s">
        <v>97</v>
      </c>
      <c r="DC110" s="142" t="s">
        <v>97</v>
      </c>
      <c r="DD110" s="142" t="s">
        <v>97</v>
      </c>
      <c r="DE110" s="119" t="s">
        <v>97</v>
      </c>
      <c r="DF110" s="119" t="s">
        <v>97</v>
      </c>
      <c r="DG110" s="119" t="s">
        <v>97</v>
      </c>
      <c r="DH110" s="119" t="s">
        <v>97</v>
      </c>
      <c r="DI110" s="119" t="s">
        <v>97</v>
      </c>
      <c r="DJ110" s="119" t="s">
        <v>97</v>
      </c>
      <c r="DK110" s="119" t="s">
        <v>97</v>
      </c>
      <c r="DL110" s="119" t="s">
        <v>97</v>
      </c>
      <c r="DM110" s="119" t="s">
        <v>97</v>
      </c>
      <c r="DN110" s="119" t="s">
        <v>97</v>
      </c>
      <c r="DO110" s="119" t="s">
        <v>97</v>
      </c>
      <c r="DP110" s="120" t="s">
        <v>97</v>
      </c>
      <c r="DW110" s="114" t="s">
        <v>97</v>
      </c>
      <c r="DX110" s="114" t="s">
        <v>97</v>
      </c>
      <c r="DY110" s="114" t="s">
        <v>97</v>
      </c>
      <c r="DZ110" s="114" t="s">
        <v>97</v>
      </c>
    </row>
    <row r="111" spans="1:130" s="185" customFormat="1" ht="15.75" outlineLevel="1" thickBot="1">
      <c r="A111" s="636"/>
      <c r="B111" s="57" t="str">
        <f t="shared" si="13"/>
        <v xml:space="preserve"> </v>
      </c>
      <c r="C111" s="57" t="str">
        <f t="shared" si="14"/>
        <v xml:space="preserve"> </v>
      </c>
      <c r="D111" s="57" t="str">
        <f t="shared" si="15"/>
        <v xml:space="preserve"> </v>
      </c>
      <c r="E111" s="57" t="str">
        <f t="shared" si="16"/>
        <v xml:space="preserve"> </v>
      </c>
      <c r="F111" s="636"/>
      <c r="G111" s="134" t="s">
        <v>97</v>
      </c>
      <c r="H111" s="89" t="s">
        <v>97</v>
      </c>
      <c r="I111" s="142" t="s">
        <v>97</v>
      </c>
      <c r="J111" s="142" t="s">
        <v>97</v>
      </c>
      <c r="K111" s="142" t="s">
        <v>97</v>
      </c>
      <c r="L111" s="142" t="s">
        <v>97</v>
      </c>
      <c r="M111" s="142" t="s">
        <v>97</v>
      </c>
      <c r="N111" s="142" t="s">
        <v>97</v>
      </c>
      <c r="O111" s="142" t="s">
        <v>97</v>
      </c>
      <c r="P111" s="142" t="s">
        <v>97</v>
      </c>
      <c r="Q111" s="142" t="s">
        <v>97</v>
      </c>
      <c r="R111" s="142" t="s">
        <v>97</v>
      </c>
      <c r="S111" s="142" t="s">
        <v>97</v>
      </c>
      <c r="T111" s="142" t="s">
        <v>97</v>
      </c>
      <c r="U111" s="142" t="s">
        <v>97</v>
      </c>
      <c r="V111" s="142" t="s">
        <v>97</v>
      </c>
      <c r="W111" s="142" t="s">
        <v>97</v>
      </c>
      <c r="X111" s="142" t="s">
        <v>97</v>
      </c>
      <c r="Y111" s="142" t="s">
        <v>97</v>
      </c>
      <c r="Z111" s="142" t="s">
        <v>97</v>
      </c>
      <c r="AA111" s="142" t="s">
        <v>97</v>
      </c>
      <c r="AB111" s="142" t="s">
        <v>97</v>
      </c>
      <c r="AC111" s="142" t="s">
        <v>97</v>
      </c>
      <c r="AD111" s="142" t="s">
        <v>97</v>
      </c>
      <c r="AE111" s="142" t="s">
        <v>97</v>
      </c>
      <c r="AF111" s="142" t="s">
        <v>97</v>
      </c>
      <c r="AG111" s="142" t="s">
        <v>97</v>
      </c>
      <c r="AH111" s="142" t="s">
        <v>97</v>
      </c>
      <c r="AI111" s="142" t="s">
        <v>97</v>
      </c>
      <c r="AJ111" s="142" t="s">
        <v>97</v>
      </c>
      <c r="AK111" s="142" t="s">
        <v>97</v>
      </c>
      <c r="AL111" s="142" t="s">
        <v>97</v>
      </c>
      <c r="AM111" s="142" t="s">
        <v>97</v>
      </c>
      <c r="AN111" s="142" t="s">
        <v>97</v>
      </c>
      <c r="AO111" s="142" t="s">
        <v>97</v>
      </c>
      <c r="AP111" s="142" t="s">
        <v>97</v>
      </c>
      <c r="AQ111" s="142" t="s">
        <v>97</v>
      </c>
      <c r="AR111" s="142" t="s">
        <v>97</v>
      </c>
      <c r="AS111" s="142" t="s">
        <v>97</v>
      </c>
      <c r="AT111" s="142" t="s">
        <v>97</v>
      </c>
      <c r="AU111" s="142" t="s">
        <v>97</v>
      </c>
      <c r="AV111" s="142" t="s">
        <v>97</v>
      </c>
      <c r="AW111" s="142" t="s">
        <v>97</v>
      </c>
      <c r="AX111" s="142" t="s">
        <v>97</v>
      </c>
      <c r="AY111" s="142" t="s">
        <v>97</v>
      </c>
      <c r="AZ111" s="142" t="s">
        <v>97</v>
      </c>
      <c r="BA111" s="142" t="s">
        <v>97</v>
      </c>
      <c r="BB111" s="142" t="s">
        <v>97</v>
      </c>
      <c r="BC111" s="142" t="s">
        <v>97</v>
      </c>
      <c r="BD111" s="142" t="s">
        <v>97</v>
      </c>
      <c r="BE111" s="142" t="s">
        <v>97</v>
      </c>
      <c r="BF111" s="142" t="s">
        <v>97</v>
      </c>
      <c r="BG111" s="142" t="s">
        <v>97</v>
      </c>
      <c r="BH111" s="142" t="s">
        <v>97</v>
      </c>
      <c r="BI111" s="142" t="s">
        <v>97</v>
      </c>
      <c r="BJ111" s="142" t="s">
        <v>97</v>
      </c>
      <c r="BK111" s="142" t="s">
        <v>97</v>
      </c>
      <c r="BL111" s="142" t="s">
        <v>97</v>
      </c>
      <c r="BM111" s="142" t="s">
        <v>97</v>
      </c>
      <c r="BN111" s="142" t="s">
        <v>97</v>
      </c>
      <c r="BO111" s="142" t="s">
        <v>97</v>
      </c>
      <c r="BP111" s="142" t="s">
        <v>97</v>
      </c>
      <c r="BQ111" s="142" t="s">
        <v>97</v>
      </c>
      <c r="BR111" s="142" t="s">
        <v>97</v>
      </c>
      <c r="BS111" s="142" t="s">
        <v>97</v>
      </c>
      <c r="BT111" s="142" t="s">
        <v>97</v>
      </c>
      <c r="BU111" s="142" t="s">
        <v>97</v>
      </c>
      <c r="BV111" s="142" t="s">
        <v>97</v>
      </c>
      <c r="BW111" s="142" t="s">
        <v>97</v>
      </c>
      <c r="BX111" s="142" t="s">
        <v>97</v>
      </c>
      <c r="BY111" s="142" t="s">
        <v>97</v>
      </c>
      <c r="BZ111" s="142" t="s">
        <v>97</v>
      </c>
      <c r="CA111" s="142" t="s">
        <v>97</v>
      </c>
      <c r="CB111" s="142" t="s">
        <v>97</v>
      </c>
      <c r="CC111" s="142" t="s">
        <v>97</v>
      </c>
      <c r="CD111" s="142" t="s">
        <v>97</v>
      </c>
      <c r="CE111" s="142" t="s">
        <v>97</v>
      </c>
      <c r="CF111" s="142" t="s">
        <v>97</v>
      </c>
      <c r="CG111" s="142" t="s">
        <v>97</v>
      </c>
      <c r="CH111" s="142" t="s">
        <v>97</v>
      </c>
      <c r="CI111" s="142" t="s">
        <v>97</v>
      </c>
      <c r="CJ111" s="142" t="s">
        <v>97</v>
      </c>
      <c r="CK111" s="142" t="s">
        <v>97</v>
      </c>
      <c r="CL111" s="142" t="s">
        <v>97</v>
      </c>
      <c r="CM111" s="142" t="s">
        <v>97</v>
      </c>
      <c r="CN111" s="142" t="s">
        <v>97</v>
      </c>
      <c r="CO111" s="142" t="s">
        <v>97</v>
      </c>
      <c r="CP111" s="142" t="s">
        <v>97</v>
      </c>
      <c r="CQ111" s="142" t="s">
        <v>97</v>
      </c>
      <c r="CR111" s="142" t="s">
        <v>97</v>
      </c>
      <c r="CS111" s="142" t="s">
        <v>97</v>
      </c>
      <c r="CT111" s="142" t="s">
        <v>97</v>
      </c>
      <c r="CU111" s="142" t="s">
        <v>97</v>
      </c>
      <c r="CV111" s="142" t="s">
        <v>97</v>
      </c>
      <c r="CW111" s="142" t="s">
        <v>97</v>
      </c>
      <c r="CX111" s="142" t="s">
        <v>97</v>
      </c>
      <c r="CY111" s="142" t="s">
        <v>97</v>
      </c>
      <c r="CZ111" s="142" t="s">
        <v>97</v>
      </c>
      <c r="DA111" s="142" t="s">
        <v>97</v>
      </c>
      <c r="DB111" s="142" t="s">
        <v>97</v>
      </c>
      <c r="DC111" s="142" t="s">
        <v>97</v>
      </c>
      <c r="DD111" s="142" t="s">
        <v>97</v>
      </c>
      <c r="DE111" s="119" t="s">
        <v>97</v>
      </c>
      <c r="DF111" s="119" t="s">
        <v>97</v>
      </c>
      <c r="DG111" s="119" t="s">
        <v>97</v>
      </c>
      <c r="DH111" s="119" t="s">
        <v>97</v>
      </c>
      <c r="DI111" s="119" t="s">
        <v>97</v>
      </c>
      <c r="DJ111" s="119" t="s">
        <v>97</v>
      </c>
      <c r="DK111" s="119" t="s">
        <v>97</v>
      </c>
      <c r="DL111" s="119" t="s">
        <v>97</v>
      </c>
      <c r="DM111" s="119" t="s">
        <v>97</v>
      </c>
      <c r="DN111" s="119" t="s">
        <v>97</v>
      </c>
      <c r="DO111" s="119" t="s">
        <v>97</v>
      </c>
      <c r="DP111" s="120" t="s">
        <v>97</v>
      </c>
      <c r="DW111" s="116" t="s">
        <v>97</v>
      </c>
      <c r="DX111" s="116" t="s">
        <v>97</v>
      </c>
      <c r="DY111" s="116" t="s">
        <v>97</v>
      </c>
      <c r="DZ111" s="116" t="s">
        <v>97</v>
      </c>
    </row>
    <row r="112" spans="1:130" s="185" customFormat="1" outlineLevel="1">
      <c r="A112" s="636"/>
      <c r="B112" s="57" t="str">
        <f t="shared" si="13"/>
        <v xml:space="preserve"> </v>
      </c>
      <c r="C112" s="57" t="str">
        <f t="shared" si="14"/>
        <v xml:space="preserve"> </v>
      </c>
      <c r="D112" s="57" t="str">
        <f t="shared" si="15"/>
        <v xml:space="preserve"> </v>
      </c>
      <c r="E112" s="57" t="str">
        <f t="shared" si="16"/>
        <v xml:space="preserve"> </v>
      </c>
      <c r="F112" s="636"/>
      <c r="G112" s="134" t="s">
        <v>97</v>
      </c>
      <c r="H112" s="89" t="s">
        <v>97</v>
      </c>
      <c r="I112" s="142" t="s">
        <v>97</v>
      </c>
      <c r="J112" s="142" t="s">
        <v>97</v>
      </c>
      <c r="K112" s="142" t="s">
        <v>97</v>
      </c>
      <c r="L112" s="142" t="s">
        <v>97</v>
      </c>
      <c r="M112" s="142" t="s">
        <v>97</v>
      </c>
      <c r="N112" s="142" t="s">
        <v>97</v>
      </c>
      <c r="O112" s="142" t="s">
        <v>97</v>
      </c>
      <c r="P112" s="142" t="s">
        <v>97</v>
      </c>
      <c r="Q112" s="142" t="s">
        <v>97</v>
      </c>
      <c r="R112" s="142" t="s">
        <v>97</v>
      </c>
      <c r="S112" s="142" t="s">
        <v>97</v>
      </c>
      <c r="T112" s="142" t="s">
        <v>97</v>
      </c>
      <c r="U112" s="142" t="s">
        <v>97</v>
      </c>
      <c r="V112" s="142" t="s">
        <v>97</v>
      </c>
      <c r="W112" s="142" t="s">
        <v>97</v>
      </c>
      <c r="X112" s="142" t="s">
        <v>97</v>
      </c>
      <c r="Y112" s="142" t="s">
        <v>97</v>
      </c>
      <c r="Z112" s="142" t="s">
        <v>97</v>
      </c>
      <c r="AA112" s="142" t="s">
        <v>97</v>
      </c>
      <c r="AB112" s="142" t="s">
        <v>97</v>
      </c>
      <c r="AC112" s="142" t="s">
        <v>97</v>
      </c>
      <c r="AD112" s="142" t="s">
        <v>97</v>
      </c>
      <c r="AE112" s="142" t="s">
        <v>97</v>
      </c>
      <c r="AF112" s="142" t="s">
        <v>97</v>
      </c>
      <c r="AG112" s="142" t="s">
        <v>97</v>
      </c>
      <c r="AH112" s="142" t="s">
        <v>97</v>
      </c>
      <c r="AI112" s="142" t="s">
        <v>97</v>
      </c>
      <c r="AJ112" s="142" t="s">
        <v>97</v>
      </c>
      <c r="AK112" s="142" t="s">
        <v>97</v>
      </c>
      <c r="AL112" s="142" t="s">
        <v>97</v>
      </c>
      <c r="AM112" s="142" t="s">
        <v>97</v>
      </c>
      <c r="AN112" s="142" t="s">
        <v>97</v>
      </c>
      <c r="AO112" s="142" t="s">
        <v>97</v>
      </c>
      <c r="AP112" s="142" t="s">
        <v>97</v>
      </c>
      <c r="AQ112" s="142" t="s">
        <v>97</v>
      </c>
      <c r="AR112" s="142" t="s">
        <v>97</v>
      </c>
      <c r="AS112" s="142" t="s">
        <v>97</v>
      </c>
      <c r="AT112" s="142" t="s">
        <v>97</v>
      </c>
      <c r="AU112" s="142" t="s">
        <v>97</v>
      </c>
      <c r="AV112" s="142" t="s">
        <v>97</v>
      </c>
      <c r="AW112" s="142" t="s">
        <v>97</v>
      </c>
      <c r="AX112" s="142" t="s">
        <v>97</v>
      </c>
      <c r="AY112" s="142" t="s">
        <v>97</v>
      </c>
      <c r="AZ112" s="142" t="s">
        <v>97</v>
      </c>
      <c r="BA112" s="142" t="s">
        <v>97</v>
      </c>
      <c r="BB112" s="142" t="s">
        <v>97</v>
      </c>
      <c r="BC112" s="142" t="s">
        <v>97</v>
      </c>
      <c r="BD112" s="142" t="s">
        <v>97</v>
      </c>
      <c r="BE112" s="142" t="s">
        <v>97</v>
      </c>
      <c r="BF112" s="142" t="s">
        <v>97</v>
      </c>
      <c r="BG112" s="142" t="s">
        <v>97</v>
      </c>
      <c r="BH112" s="142" t="s">
        <v>97</v>
      </c>
      <c r="BI112" s="142" t="s">
        <v>97</v>
      </c>
      <c r="BJ112" s="142" t="s">
        <v>97</v>
      </c>
      <c r="BK112" s="142" t="s">
        <v>97</v>
      </c>
      <c r="BL112" s="142" t="s">
        <v>97</v>
      </c>
      <c r="BM112" s="142" t="s">
        <v>97</v>
      </c>
      <c r="BN112" s="142" t="s">
        <v>97</v>
      </c>
      <c r="BO112" s="142" t="s">
        <v>97</v>
      </c>
      <c r="BP112" s="142" t="s">
        <v>97</v>
      </c>
      <c r="BQ112" s="142" t="s">
        <v>97</v>
      </c>
      <c r="BR112" s="142" t="s">
        <v>97</v>
      </c>
      <c r="BS112" s="142" t="s">
        <v>97</v>
      </c>
      <c r="BT112" s="142" t="s">
        <v>97</v>
      </c>
      <c r="BU112" s="142" t="s">
        <v>97</v>
      </c>
      <c r="BV112" s="142" t="s">
        <v>97</v>
      </c>
      <c r="BW112" s="142" t="s">
        <v>97</v>
      </c>
      <c r="BX112" s="142" t="s">
        <v>97</v>
      </c>
      <c r="BY112" s="142" t="s">
        <v>97</v>
      </c>
      <c r="BZ112" s="142" t="s">
        <v>97</v>
      </c>
      <c r="CA112" s="142" t="s">
        <v>97</v>
      </c>
      <c r="CB112" s="142" t="s">
        <v>97</v>
      </c>
      <c r="CC112" s="142" t="s">
        <v>97</v>
      </c>
      <c r="CD112" s="142" t="s">
        <v>97</v>
      </c>
      <c r="CE112" s="142" t="s">
        <v>97</v>
      </c>
      <c r="CF112" s="142" t="s">
        <v>97</v>
      </c>
      <c r="CG112" s="142" t="s">
        <v>97</v>
      </c>
      <c r="CH112" s="142" t="s">
        <v>97</v>
      </c>
      <c r="CI112" s="142" t="s">
        <v>97</v>
      </c>
      <c r="CJ112" s="142" t="s">
        <v>97</v>
      </c>
      <c r="CK112" s="142" t="s">
        <v>97</v>
      </c>
      <c r="CL112" s="142" t="s">
        <v>97</v>
      </c>
      <c r="CM112" s="142" t="s">
        <v>97</v>
      </c>
      <c r="CN112" s="142" t="s">
        <v>97</v>
      </c>
      <c r="CO112" s="142" t="s">
        <v>97</v>
      </c>
      <c r="CP112" s="142" t="s">
        <v>97</v>
      </c>
      <c r="CQ112" s="142" t="s">
        <v>97</v>
      </c>
      <c r="CR112" s="142" t="s">
        <v>97</v>
      </c>
      <c r="CS112" s="142" t="s">
        <v>97</v>
      </c>
      <c r="CT112" s="142" t="s">
        <v>97</v>
      </c>
      <c r="CU112" s="142" t="s">
        <v>97</v>
      </c>
      <c r="CV112" s="142" t="s">
        <v>97</v>
      </c>
      <c r="CW112" s="142" t="s">
        <v>97</v>
      </c>
      <c r="CX112" s="142" t="s">
        <v>97</v>
      </c>
      <c r="CY112" s="142" t="s">
        <v>97</v>
      </c>
      <c r="CZ112" s="142" t="s">
        <v>97</v>
      </c>
      <c r="DA112" s="142" t="s">
        <v>97</v>
      </c>
      <c r="DB112" s="142" t="s">
        <v>97</v>
      </c>
      <c r="DC112" s="142" t="s">
        <v>97</v>
      </c>
      <c r="DD112" s="142" t="s">
        <v>97</v>
      </c>
      <c r="DE112" s="119" t="s">
        <v>97</v>
      </c>
      <c r="DF112" s="119" t="s">
        <v>97</v>
      </c>
      <c r="DG112" s="119" t="s">
        <v>97</v>
      </c>
      <c r="DH112" s="119" t="s">
        <v>97</v>
      </c>
      <c r="DI112" s="119" t="s">
        <v>97</v>
      </c>
      <c r="DJ112" s="119" t="s">
        <v>97</v>
      </c>
      <c r="DK112" s="119" t="s">
        <v>97</v>
      </c>
      <c r="DL112" s="119" t="s">
        <v>97</v>
      </c>
      <c r="DM112" s="119" t="s">
        <v>97</v>
      </c>
      <c r="DN112" s="119" t="s">
        <v>97</v>
      </c>
      <c r="DO112" s="119" t="s">
        <v>97</v>
      </c>
      <c r="DP112" s="120" t="s">
        <v>97</v>
      </c>
      <c r="DW112" s="114" t="s">
        <v>97</v>
      </c>
      <c r="DX112" s="114" t="s">
        <v>97</v>
      </c>
      <c r="DY112" s="114" t="s">
        <v>97</v>
      </c>
      <c r="DZ112" s="114" t="s">
        <v>97</v>
      </c>
    </row>
    <row r="113" spans="1:130" s="185" customFormat="1" outlineLevel="1">
      <c r="A113" s="636"/>
      <c r="B113" s="57" t="str">
        <f t="shared" si="13"/>
        <v xml:space="preserve"> </v>
      </c>
      <c r="C113" s="57" t="str">
        <f t="shared" si="14"/>
        <v xml:space="preserve"> </v>
      </c>
      <c r="D113" s="57" t="str">
        <f t="shared" si="15"/>
        <v xml:space="preserve"> </v>
      </c>
      <c r="E113" s="57" t="str">
        <f t="shared" si="16"/>
        <v xml:space="preserve"> </v>
      </c>
      <c r="F113" s="636"/>
      <c r="G113" s="134" t="s">
        <v>97</v>
      </c>
      <c r="H113" s="89" t="s">
        <v>97</v>
      </c>
      <c r="I113" s="142" t="s">
        <v>97</v>
      </c>
      <c r="J113" s="142" t="s">
        <v>97</v>
      </c>
      <c r="K113" s="142" t="s">
        <v>97</v>
      </c>
      <c r="L113" s="142" t="s">
        <v>97</v>
      </c>
      <c r="M113" s="142" t="s">
        <v>97</v>
      </c>
      <c r="N113" s="142" t="s">
        <v>97</v>
      </c>
      <c r="O113" s="142" t="s">
        <v>97</v>
      </c>
      <c r="P113" s="142" t="s">
        <v>97</v>
      </c>
      <c r="Q113" s="142" t="s">
        <v>97</v>
      </c>
      <c r="R113" s="142" t="s">
        <v>97</v>
      </c>
      <c r="S113" s="142" t="s">
        <v>97</v>
      </c>
      <c r="T113" s="142" t="s">
        <v>97</v>
      </c>
      <c r="U113" s="142" t="s">
        <v>97</v>
      </c>
      <c r="V113" s="142" t="s">
        <v>97</v>
      </c>
      <c r="W113" s="142" t="s">
        <v>97</v>
      </c>
      <c r="X113" s="142" t="s">
        <v>97</v>
      </c>
      <c r="Y113" s="142" t="s">
        <v>97</v>
      </c>
      <c r="Z113" s="142" t="s">
        <v>97</v>
      </c>
      <c r="AA113" s="142" t="s">
        <v>97</v>
      </c>
      <c r="AB113" s="142" t="s">
        <v>97</v>
      </c>
      <c r="AC113" s="142" t="s">
        <v>97</v>
      </c>
      <c r="AD113" s="142" t="s">
        <v>97</v>
      </c>
      <c r="AE113" s="142" t="s">
        <v>97</v>
      </c>
      <c r="AF113" s="142" t="s">
        <v>97</v>
      </c>
      <c r="AG113" s="142" t="s">
        <v>97</v>
      </c>
      <c r="AH113" s="142" t="s">
        <v>97</v>
      </c>
      <c r="AI113" s="142" t="s">
        <v>97</v>
      </c>
      <c r="AJ113" s="142" t="s">
        <v>97</v>
      </c>
      <c r="AK113" s="142" t="s">
        <v>97</v>
      </c>
      <c r="AL113" s="142" t="s">
        <v>97</v>
      </c>
      <c r="AM113" s="142" t="s">
        <v>97</v>
      </c>
      <c r="AN113" s="142" t="s">
        <v>97</v>
      </c>
      <c r="AO113" s="142" t="s">
        <v>97</v>
      </c>
      <c r="AP113" s="142" t="s">
        <v>97</v>
      </c>
      <c r="AQ113" s="142" t="s">
        <v>97</v>
      </c>
      <c r="AR113" s="142" t="s">
        <v>97</v>
      </c>
      <c r="AS113" s="142" t="s">
        <v>97</v>
      </c>
      <c r="AT113" s="142" t="s">
        <v>97</v>
      </c>
      <c r="AU113" s="142" t="s">
        <v>97</v>
      </c>
      <c r="AV113" s="142" t="s">
        <v>97</v>
      </c>
      <c r="AW113" s="142" t="s">
        <v>97</v>
      </c>
      <c r="AX113" s="142" t="s">
        <v>97</v>
      </c>
      <c r="AY113" s="142" t="s">
        <v>97</v>
      </c>
      <c r="AZ113" s="142" t="s">
        <v>97</v>
      </c>
      <c r="BA113" s="142" t="s">
        <v>97</v>
      </c>
      <c r="BB113" s="142" t="s">
        <v>97</v>
      </c>
      <c r="BC113" s="142" t="s">
        <v>97</v>
      </c>
      <c r="BD113" s="142" t="s">
        <v>97</v>
      </c>
      <c r="BE113" s="142" t="s">
        <v>97</v>
      </c>
      <c r="BF113" s="142" t="s">
        <v>97</v>
      </c>
      <c r="BG113" s="142" t="s">
        <v>97</v>
      </c>
      <c r="BH113" s="142" t="s">
        <v>97</v>
      </c>
      <c r="BI113" s="142" t="s">
        <v>97</v>
      </c>
      <c r="BJ113" s="142" t="s">
        <v>97</v>
      </c>
      <c r="BK113" s="142" t="s">
        <v>97</v>
      </c>
      <c r="BL113" s="142" t="s">
        <v>97</v>
      </c>
      <c r="BM113" s="142" t="s">
        <v>97</v>
      </c>
      <c r="BN113" s="142" t="s">
        <v>97</v>
      </c>
      <c r="BO113" s="142" t="s">
        <v>97</v>
      </c>
      <c r="BP113" s="142" t="s">
        <v>97</v>
      </c>
      <c r="BQ113" s="142" t="s">
        <v>97</v>
      </c>
      <c r="BR113" s="142" t="s">
        <v>97</v>
      </c>
      <c r="BS113" s="142" t="s">
        <v>97</v>
      </c>
      <c r="BT113" s="142" t="s">
        <v>97</v>
      </c>
      <c r="BU113" s="142" t="s">
        <v>97</v>
      </c>
      <c r="BV113" s="142" t="s">
        <v>97</v>
      </c>
      <c r="BW113" s="142" t="s">
        <v>97</v>
      </c>
      <c r="BX113" s="142" t="s">
        <v>97</v>
      </c>
      <c r="BY113" s="142" t="s">
        <v>97</v>
      </c>
      <c r="BZ113" s="142" t="s">
        <v>97</v>
      </c>
      <c r="CA113" s="142" t="s">
        <v>97</v>
      </c>
      <c r="CB113" s="142" t="s">
        <v>97</v>
      </c>
      <c r="CC113" s="142" t="s">
        <v>97</v>
      </c>
      <c r="CD113" s="142" t="s">
        <v>97</v>
      </c>
      <c r="CE113" s="142" t="s">
        <v>97</v>
      </c>
      <c r="CF113" s="142" t="s">
        <v>97</v>
      </c>
      <c r="CG113" s="142" t="s">
        <v>97</v>
      </c>
      <c r="CH113" s="142" t="s">
        <v>97</v>
      </c>
      <c r="CI113" s="142" t="s">
        <v>97</v>
      </c>
      <c r="CJ113" s="142" t="s">
        <v>97</v>
      </c>
      <c r="CK113" s="142" t="s">
        <v>97</v>
      </c>
      <c r="CL113" s="142" t="s">
        <v>97</v>
      </c>
      <c r="CM113" s="142" t="s">
        <v>97</v>
      </c>
      <c r="CN113" s="142" t="s">
        <v>97</v>
      </c>
      <c r="CO113" s="142" t="s">
        <v>97</v>
      </c>
      <c r="CP113" s="142" t="s">
        <v>97</v>
      </c>
      <c r="CQ113" s="142" t="s">
        <v>97</v>
      </c>
      <c r="CR113" s="142" t="s">
        <v>97</v>
      </c>
      <c r="CS113" s="142" t="s">
        <v>97</v>
      </c>
      <c r="CT113" s="142" t="s">
        <v>97</v>
      </c>
      <c r="CU113" s="142" t="s">
        <v>97</v>
      </c>
      <c r="CV113" s="142" t="s">
        <v>97</v>
      </c>
      <c r="CW113" s="142" t="s">
        <v>97</v>
      </c>
      <c r="CX113" s="142" t="s">
        <v>97</v>
      </c>
      <c r="CY113" s="142" t="s">
        <v>97</v>
      </c>
      <c r="CZ113" s="142" t="s">
        <v>97</v>
      </c>
      <c r="DA113" s="142" t="s">
        <v>97</v>
      </c>
      <c r="DB113" s="142" t="s">
        <v>97</v>
      </c>
      <c r="DC113" s="142" t="s">
        <v>97</v>
      </c>
      <c r="DD113" s="142" t="s">
        <v>97</v>
      </c>
      <c r="DE113" s="119" t="s">
        <v>97</v>
      </c>
      <c r="DF113" s="119" t="s">
        <v>97</v>
      </c>
      <c r="DG113" s="119" t="s">
        <v>97</v>
      </c>
      <c r="DH113" s="119" t="s">
        <v>97</v>
      </c>
      <c r="DI113" s="119" t="s">
        <v>97</v>
      </c>
      <c r="DJ113" s="119" t="s">
        <v>97</v>
      </c>
      <c r="DK113" s="119" t="s">
        <v>97</v>
      </c>
      <c r="DL113" s="119" t="s">
        <v>97</v>
      </c>
      <c r="DM113" s="119" t="s">
        <v>97</v>
      </c>
      <c r="DN113" s="119" t="s">
        <v>97</v>
      </c>
      <c r="DO113" s="119" t="s">
        <v>97</v>
      </c>
      <c r="DP113" s="120" t="s">
        <v>97</v>
      </c>
      <c r="DW113" s="114" t="s">
        <v>97</v>
      </c>
      <c r="DX113" s="114" t="s">
        <v>97</v>
      </c>
      <c r="DY113" s="114" t="s">
        <v>97</v>
      </c>
      <c r="DZ113" s="114" t="s">
        <v>97</v>
      </c>
    </row>
    <row r="114" spans="1:130" s="185" customFormat="1" outlineLevel="1">
      <c r="A114" s="636"/>
      <c r="B114" s="57" t="str">
        <f t="shared" si="13"/>
        <v xml:space="preserve"> </v>
      </c>
      <c r="C114" s="57" t="str">
        <f t="shared" si="14"/>
        <v xml:space="preserve"> </v>
      </c>
      <c r="D114" s="57" t="str">
        <f t="shared" si="15"/>
        <v xml:space="preserve"> </v>
      </c>
      <c r="E114" s="57" t="str">
        <f t="shared" si="16"/>
        <v xml:space="preserve"> </v>
      </c>
      <c r="F114" s="636"/>
      <c r="G114" s="134" t="s">
        <v>97</v>
      </c>
      <c r="H114" s="89" t="s">
        <v>97</v>
      </c>
      <c r="I114" s="142" t="s">
        <v>97</v>
      </c>
      <c r="J114" s="142" t="s">
        <v>97</v>
      </c>
      <c r="K114" s="142" t="s">
        <v>97</v>
      </c>
      <c r="L114" s="142" t="s">
        <v>97</v>
      </c>
      <c r="M114" s="142" t="s">
        <v>97</v>
      </c>
      <c r="N114" s="142" t="s">
        <v>97</v>
      </c>
      <c r="O114" s="142" t="s">
        <v>97</v>
      </c>
      <c r="P114" s="142" t="s">
        <v>97</v>
      </c>
      <c r="Q114" s="142" t="s">
        <v>97</v>
      </c>
      <c r="R114" s="142" t="s">
        <v>97</v>
      </c>
      <c r="S114" s="142" t="s">
        <v>97</v>
      </c>
      <c r="T114" s="142" t="s">
        <v>97</v>
      </c>
      <c r="U114" s="142" t="s">
        <v>97</v>
      </c>
      <c r="V114" s="142" t="s">
        <v>97</v>
      </c>
      <c r="W114" s="142" t="s">
        <v>97</v>
      </c>
      <c r="X114" s="142" t="s">
        <v>97</v>
      </c>
      <c r="Y114" s="142" t="s">
        <v>97</v>
      </c>
      <c r="Z114" s="142" t="s">
        <v>97</v>
      </c>
      <c r="AA114" s="142" t="s">
        <v>97</v>
      </c>
      <c r="AB114" s="142" t="s">
        <v>97</v>
      </c>
      <c r="AC114" s="142" t="s">
        <v>97</v>
      </c>
      <c r="AD114" s="142" t="s">
        <v>97</v>
      </c>
      <c r="AE114" s="142" t="s">
        <v>97</v>
      </c>
      <c r="AF114" s="142" t="s">
        <v>97</v>
      </c>
      <c r="AG114" s="142" t="s">
        <v>97</v>
      </c>
      <c r="AH114" s="142" t="s">
        <v>97</v>
      </c>
      <c r="AI114" s="142" t="s">
        <v>97</v>
      </c>
      <c r="AJ114" s="142" t="s">
        <v>97</v>
      </c>
      <c r="AK114" s="142" t="s">
        <v>97</v>
      </c>
      <c r="AL114" s="142" t="s">
        <v>97</v>
      </c>
      <c r="AM114" s="142" t="s">
        <v>97</v>
      </c>
      <c r="AN114" s="142" t="s">
        <v>97</v>
      </c>
      <c r="AO114" s="142" t="s">
        <v>97</v>
      </c>
      <c r="AP114" s="142" t="s">
        <v>97</v>
      </c>
      <c r="AQ114" s="142" t="s">
        <v>97</v>
      </c>
      <c r="AR114" s="142" t="s">
        <v>97</v>
      </c>
      <c r="AS114" s="142" t="s">
        <v>97</v>
      </c>
      <c r="AT114" s="142" t="s">
        <v>97</v>
      </c>
      <c r="AU114" s="142" t="s">
        <v>97</v>
      </c>
      <c r="AV114" s="142" t="s">
        <v>97</v>
      </c>
      <c r="AW114" s="142" t="s">
        <v>97</v>
      </c>
      <c r="AX114" s="142" t="s">
        <v>97</v>
      </c>
      <c r="AY114" s="142" t="s">
        <v>97</v>
      </c>
      <c r="AZ114" s="142" t="s">
        <v>97</v>
      </c>
      <c r="BA114" s="142" t="s">
        <v>97</v>
      </c>
      <c r="BB114" s="142" t="s">
        <v>97</v>
      </c>
      <c r="BC114" s="142" t="s">
        <v>97</v>
      </c>
      <c r="BD114" s="142" t="s">
        <v>97</v>
      </c>
      <c r="BE114" s="142" t="s">
        <v>97</v>
      </c>
      <c r="BF114" s="142" t="s">
        <v>97</v>
      </c>
      <c r="BG114" s="142" t="s">
        <v>97</v>
      </c>
      <c r="BH114" s="142" t="s">
        <v>97</v>
      </c>
      <c r="BI114" s="142" t="s">
        <v>97</v>
      </c>
      <c r="BJ114" s="142" t="s">
        <v>97</v>
      </c>
      <c r="BK114" s="142" t="s">
        <v>97</v>
      </c>
      <c r="BL114" s="142" t="s">
        <v>97</v>
      </c>
      <c r="BM114" s="142" t="s">
        <v>97</v>
      </c>
      <c r="BN114" s="142" t="s">
        <v>97</v>
      </c>
      <c r="BO114" s="142" t="s">
        <v>97</v>
      </c>
      <c r="BP114" s="142" t="s">
        <v>97</v>
      </c>
      <c r="BQ114" s="142" t="s">
        <v>97</v>
      </c>
      <c r="BR114" s="142" t="s">
        <v>97</v>
      </c>
      <c r="BS114" s="142" t="s">
        <v>97</v>
      </c>
      <c r="BT114" s="142" t="s">
        <v>97</v>
      </c>
      <c r="BU114" s="142" t="s">
        <v>97</v>
      </c>
      <c r="BV114" s="142" t="s">
        <v>97</v>
      </c>
      <c r="BW114" s="142" t="s">
        <v>97</v>
      </c>
      <c r="BX114" s="142" t="s">
        <v>97</v>
      </c>
      <c r="BY114" s="142" t="s">
        <v>97</v>
      </c>
      <c r="BZ114" s="142" t="s">
        <v>97</v>
      </c>
      <c r="CA114" s="142" t="s">
        <v>97</v>
      </c>
      <c r="CB114" s="142" t="s">
        <v>97</v>
      </c>
      <c r="CC114" s="142" t="s">
        <v>97</v>
      </c>
      <c r="CD114" s="142" t="s">
        <v>97</v>
      </c>
      <c r="CE114" s="142" t="s">
        <v>97</v>
      </c>
      <c r="CF114" s="142" t="s">
        <v>97</v>
      </c>
      <c r="CG114" s="142" t="s">
        <v>97</v>
      </c>
      <c r="CH114" s="142" t="s">
        <v>97</v>
      </c>
      <c r="CI114" s="142" t="s">
        <v>97</v>
      </c>
      <c r="CJ114" s="142" t="s">
        <v>97</v>
      </c>
      <c r="CK114" s="142" t="s">
        <v>97</v>
      </c>
      <c r="CL114" s="142" t="s">
        <v>97</v>
      </c>
      <c r="CM114" s="142" t="s">
        <v>97</v>
      </c>
      <c r="CN114" s="142" t="s">
        <v>97</v>
      </c>
      <c r="CO114" s="142" t="s">
        <v>97</v>
      </c>
      <c r="CP114" s="142" t="s">
        <v>97</v>
      </c>
      <c r="CQ114" s="142" t="s">
        <v>97</v>
      </c>
      <c r="CR114" s="142" t="s">
        <v>97</v>
      </c>
      <c r="CS114" s="142" t="s">
        <v>97</v>
      </c>
      <c r="CT114" s="142" t="s">
        <v>97</v>
      </c>
      <c r="CU114" s="142" t="s">
        <v>97</v>
      </c>
      <c r="CV114" s="142" t="s">
        <v>97</v>
      </c>
      <c r="CW114" s="142" t="s">
        <v>97</v>
      </c>
      <c r="CX114" s="142" t="s">
        <v>97</v>
      </c>
      <c r="CY114" s="142" t="s">
        <v>97</v>
      </c>
      <c r="CZ114" s="142" t="s">
        <v>97</v>
      </c>
      <c r="DA114" s="142" t="s">
        <v>97</v>
      </c>
      <c r="DB114" s="142" t="s">
        <v>97</v>
      </c>
      <c r="DC114" s="142" t="s">
        <v>97</v>
      </c>
      <c r="DD114" s="142" t="s">
        <v>97</v>
      </c>
      <c r="DE114" s="119" t="s">
        <v>97</v>
      </c>
      <c r="DF114" s="119" t="s">
        <v>97</v>
      </c>
      <c r="DG114" s="119" t="s">
        <v>97</v>
      </c>
      <c r="DH114" s="119" t="s">
        <v>97</v>
      </c>
      <c r="DI114" s="119" t="s">
        <v>97</v>
      </c>
      <c r="DJ114" s="119" t="s">
        <v>97</v>
      </c>
      <c r="DK114" s="119" t="s">
        <v>97</v>
      </c>
      <c r="DL114" s="119" t="s">
        <v>97</v>
      </c>
      <c r="DM114" s="119" t="s">
        <v>97</v>
      </c>
      <c r="DN114" s="119" t="s">
        <v>97</v>
      </c>
      <c r="DO114" s="119" t="s">
        <v>97</v>
      </c>
      <c r="DP114" s="120" t="s">
        <v>97</v>
      </c>
      <c r="DW114" s="114" t="s">
        <v>97</v>
      </c>
      <c r="DX114" s="114" t="s">
        <v>97</v>
      </c>
      <c r="DY114" s="114" t="s">
        <v>97</v>
      </c>
      <c r="DZ114" s="114" t="s">
        <v>97</v>
      </c>
    </row>
    <row r="115" spans="1:130" s="185" customFormat="1" outlineLevel="1">
      <c r="A115" s="636"/>
      <c r="B115" s="57" t="str">
        <f t="shared" si="13"/>
        <v xml:space="preserve"> </v>
      </c>
      <c r="C115" s="57" t="str">
        <f t="shared" si="14"/>
        <v xml:space="preserve"> </v>
      </c>
      <c r="D115" s="57" t="str">
        <f t="shared" si="15"/>
        <v xml:space="preserve"> </v>
      </c>
      <c r="E115" s="57" t="str">
        <f t="shared" si="16"/>
        <v xml:space="preserve"> </v>
      </c>
      <c r="F115" s="636"/>
      <c r="G115" s="134" t="s">
        <v>97</v>
      </c>
      <c r="H115" s="89" t="s">
        <v>97</v>
      </c>
      <c r="I115" s="142" t="s">
        <v>97</v>
      </c>
      <c r="J115" s="142" t="s">
        <v>97</v>
      </c>
      <c r="K115" s="142" t="s">
        <v>97</v>
      </c>
      <c r="L115" s="142" t="s">
        <v>97</v>
      </c>
      <c r="M115" s="142" t="s">
        <v>97</v>
      </c>
      <c r="N115" s="142" t="s">
        <v>97</v>
      </c>
      <c r="O115" s="142" t="s">
        <v>97</v>
      </c>
      <c r="P115" s="142" t="s">
        <v>97</v>
      </c>
      <c r="Q115" s="142" t="s">
        <v>97</v>
      </c>
      <c r="R115" s="142" t="s">
        <v>97</v>
      </c>
      <c r="S115" s="142" t="s">
        <v>97</v>
      </c>
      <c r="T115" s="142" t="s">
        <v>97</v>
      </c>
      <c r="U115" s="142" t="s">
        <v>97</v>
      </c>
      <c r="V115" s="142" t="s">
        <v>97</v>
      </c>
      <c r="W115" s="142" t="s">
        <v>97</v>
      </c>
      <c r="X115" s="142" t="s">
        <v>97</v>
      </c>
      <c r="Y115" s="142" t="s">
        <v>97</v>
      </c>
      <c r="Z115" s="142" t="s">
        <v>97</v>
      </c>
      <c r="AA115" s="142" t="s">
        <v>97</v>
      </c>
      <c r="AB115" s="142" t="s">
        <v>97</v>
      </c>
      <c r="AC115" s="142" t="s">
        <v>97</v>
      </c>
      <c r="AD115" s="142" t="s">
        <v>97</v>
      </c>
      <c r="AE115" s="142" t="s">
        <v>97</v>
      </c>
      <c r="AF115" s="142" t="s">
        <v>97</v>
      </c>
      <c r="AG115" s="142" t="s">
        <v>97</v>
      </c>
      <c r="AH115" s="142" t="s">
        <v>97</v>
      </c>
      <c r="AI115" s="142" t="s">
        <v>97</v>
      </c>
      <c r="AJ115" s="142" t="s">
        <v>97</v>
      </c>
      <c r="AK115" s="142" t="s">
        <v>97</v>
      </c>
      <c r="AL115" s="142" t="s">
        <v>97</v>
      </c>
      <c r="AM115" s="142" t="s">
        <v>97</v>
      </c>
      <c r="AN115" s="142" t="s">
        <v>97</v>
      </c>
      <c r="AO115" s="142" t="s">
        <v>97</v>
      </c>
      <c r="AP115" s="142" t="s">
        <v>97</v>
      </c>
      <c r="AQ115" s="142" t="s">
        <v>97</v>
      </c>
      <c r="AR115" s="142" t="s">
        <v>97</v>
      </c>
      <c r="AS115" s="142" t="s">
        <v>97</v>
      </c>
      <c r="AT115" s="142" t="s">
        <v>97</v>
      </c>
      <c r="AU115" s="142" t="s">
        <v>97</v>
      </c>
      <c r="AV115" s="142" t="s">
        <v>97</v>
      </c>
      <c r="AW115" s="142" t="s">
        <v>97</v>
      </c>
      <c r="AX115" s="142" t="s">
        <v>97</v>
      </c>
      <c r="AY115" s="142" t="s">
        <v>97</v>
      </c>
      <c r="AZ115" s="142" t="s">
        <v>97</v>
      </c>
      <c r="BA115" s="142" t="s">
        <v>97</v>
      </c>
      <c r="BB115" s="142" t="s">
        <v>97</v>
      </c>
      <c r="BC115" s="142" t="s">
        <v>97</v>
      </c>
      <c r="BD115" s="142" t="s">
        <v>97</v>
      </c>
      <c r="BE115" s="142" t="s">
        <v>97</v>
      </c>
      <c r="BF115" s="142" t="s">
        <v>97</v>
      </c>
      <c r="BG115" s="142" t="s">
        <v>97</v>
      </c>
      <c r="BH115" s="142" t="s">
        <v>97</v>
      </c>
      <c r="BI115" s="142" t="s">
        <v>97</v>
      </c>
      <c r="BJ115" s="142" t="s">
        <v>97</v>
      </c>
      <c r="BK115" s="142" t="s">
        <v>97</v>
      </c>
      <c r="BL115" s="142" t="s">
        <v>97</v>
      </c>
      <c r="BM115" s="142" t="s">
        <v>97</v>
      </c>
      <c r="BN115" s="142" t="s">
        <v>97</v>
      </c>
      <c r="BO115" s="142" t="s">
        <v>97</v>
      </c>
      <c r="BP115" s="142" t="s">
        <v>97</v>
      </c>
      <c r="BQ115" s="142" t="s">
        <v>97</v>
      </c>
      <c r="BR115" s="142" t="s">
        <v>97</v>
      </c>
      <c r="BS115" s="142" t="s">
        <v>97</v>
      </c>
      <c r="BT115" s="142" t="s">
        <v>97</v>
      </c>
      <c r="BU115" s="142" t="s">
        <v>97</v>
      </c>
      <c r="BV115" s="142" t="s">
        <v>97</v>
      </c>
      <c r="BW115" s="142" t="s">
        <v>97</v>
      </c>
      <c r="BX115" s="142" t="s">
        <v>97</v>
      </c>
      <c r="BY115" s="142" t="s">
        <v>97</v>
      </c>
      <c r="BZ115" s="142" t="s">
        <v>97</v>
      </c>
      <c r="CA115" s="142" t="s">
        <v>97</v>
      </c>
      <c r="CB115" s="142" t="s">
        <v>97</v>
      </c>
      <c r="CC115" s="142" t="s">
        <v>97</v>
      </c>
      <c r="CD115" s="142" t="s">
        <v>97</v>
      </c>
      <c r="CE115" s="142" t="s">
        <v>97</v>
      </c>
      <c r="CF115" s="142" t="s">
        <v>97</v>
      </c>
      <c r="CG115" s="142" t="s">
        <v>97</v>
      </c>
      <c r="CH115" s="142" t="s">
        <v>97</v>
      </c>
      <c r="CI115" s="142" t="s">
        <v>97</v>
      </c>
      <c r="CJ115" s="142" t="s">
        <v>97</v>
      </c>
      <c r="CK115" s="142" t="s">
        <v>97</v>
      </c>
      <c r="CL115" s="142" t="s">
        <v>97</v>
      </c>
      <c r="CM115" s="142" t="s">
        <v>97</v>
      </c>
      <c r="CN115" s="142" t="s">
        <v>97</v>
      </c>
      <c r="CO115" s="142" t="s">
        <v>97</v>
      </c>
      <c r="CP115" s="142" t="s">
        <v>97</v>
      </c>
      <c r="CQ115" s="142" t="s">
        <v>97</v>
      </c>
      <c r="CR115" s="142" t="s">
        <v>97</v>
      </c>
      <c r="CS115" s="142" t="s">
        <v>97</v>
      </c>
      <c r="CT115" s="142" t="s">
        <v>97</v>
      </c>
      <c r="CU115" s="142" t="s">
        <v>97</v>
      </c>
      <c r="CV115" s="142" t="s">
        <v>97</v>
      </c>
      <c r="CW115" s="142" t="s">
        <v>97</v>
      </c>
      <c r="CX115" s="142" t="s">
        <v>97</v>
      </c>
      <c r="CY115" s="142" t="s">
        <v>97</v>
      </c>
      <c r="CZ115" s="142" t="s">
        <v>97</v>
      </c>
      <c r="DA115" s="142" t="s">
        <v>97</v>
      </c>
      <c r="DB115" s="142" t="s">
        <v>97</v>
      </c>
      <c r="DC115" s="142" t="s">
        <v>97</v>
      </c>
      <c r="DD115" s="142" t="s">
        <v>97</v>
      </c>
      <c r="DE115" s="119" t="s">
        <v>97</v>
      </c>
      <c r="DF115" s="119" t="s">
        <v>97</v>
      </c>
      <c r="DG115" s="119" t="s">
        <v>97</v>
      </c>
      <c r="DH115" s="119" t="s">
        <v>97</v>
      </c>
      <c r="DI115" s="119" t="s">
        <v>97</v>
      </c>
      <c r="DJ115" s="119" t="s">
        <v>97</v>
      </c>
      <c r="DK115" s="119" t="s">
        <v>97</v>
      </c>
      <c r="DL115" s="119" t="s">
        <v>97</v>
      </c>
      <c r="DM115" s="119" t="s">
        <v>97</v>
      </c>
      <c r="DN115" s="119" t="s">
        <v>97</v>
      </c>
      <c r="DO115" s="119" t="s">
        <v>97</v>
      </c>
      <c r="DP115" s="120" t="s">
        <v>97</v>
      </c>
      <c r="DW115" s="114" t="s">
        <v>97</v>
      </c>
      <c r="DX115" s="114" t="s">
        <v>97</v>
      </c>
      <c r="DY115" s="114" t="s">
        <v>97</v>
      </c>
      <c r="DZ115" s="114" t="s">
        <v>97</v>
      </c>
    </row>
    <row r="116" spans="1:130" s="185" customFormat="1" outlineLevel="1">
      <c r="A116" s="636"/>
      <c r="B116" s="57" t="str">
        <f t="shared" si="13"/>
        <v xml:space="preserve"> </v>
      </c>
      <c r="C116" s="57" t="str">
        <f t="shared" si="14"/>
        <v xml:space="preserve"> </v>
      </c>
      <c r="D116" s="57" t="str">
        <f t="shared" si="15"/>
        <v xml:space="preserve"> </v>
      </c>
      <c r="E116" s="57" t="str">
        <f t="shared" si="16"/>
        <v xml:space="preserve"> </v>
      </c>
      <c r="F116" s="636"/>
      <c r="G116" s="134" t="s">
        <v>97</v>
      </c>
      <c r="H116" s="89" t="s">
        <v>97</v>
      </c>
      <c r="I116" s="142" t="s">
        <v>97</v>
      </c>
      <c r="J116" s="142" t="s">
        <v>97</v>
      </c>
      <c r="K116" s="142" t="s">
        <v>97</v>
      </c>
      <c r="L116" s="142" t="s">
        <v>97</v>
      </c>
      <c r="M116" s="142" t="s">
        <v>97</v>
      </c>
      <c r="N116" s="142" t="s">
        <v>97</v>
      </c>
      <c r="O116" s="142" t="s">
        <v>97</v>
      </c>
      <c r="P116" s="142" t="s">
        <v>97</v>
      </c>
      <c r="Q116" s="142" t="s">
        <v>97</v>
      </c>
      <c r="R116" s="142" t="s">
        <v>97</v>
      </c>
      <c r="S116" s="142" t="s">
        <v>97</v>
      </c>
      <c r="T116" s="142" t="s">
        <v>97</v>
      </c>
      <c r="U116" s="142" t="s">
        <v>97</v>
      </c>
      <c r="V116" s="142" t="s">
        <v>97</v>
      </c>
      <c r="W116" s="142" t="s">
        <v>97</v>
      </c>
      <c r="X116" s="142" t="s">
        <v>97</v>
      </c>
      <c r="Y116" s="142" t="s">
        <v>97</v>
      </c>
      <c r="Z116" s="142" t="s">
        <v>97</v>
      </c>
      <c r="AA116" s="142" t="s">
        <v>97</v>
      </c>
      <c r="AB116" s="142" t="s">
        <v>97</v>
      </c>
      <c r="AC116" s="142" t="s">
        <v>97</v>
      </c>
      <c r="AD116" s="142" t="s">
        <v>97</v>
      </c>
      <c r="AE116" s="142" t="s">
        <v>97</v>
      </c>
      <c r="AF116" s="142" t="s">
        <v>97</v>
      </c>
      <c r="AG116" s="142" t="s">
        <v>97</v>
      </c>
      <c r="AH116" s="142" t="s">
        <v>97</v>
      </c>
      <c r="AI116" s="142" t="s">
        <v>97</v>
      </c>
      <c r="AJ116" s="142" t="s">
        <v>97</v>
      </c>
      <c r="AK116" s="142" t="s">
        <v>97</v>
      </c>
      <c r="AL116" s="142" t="s">
        <v>97</v>
      </c>
      <c r="AM116" s="142" t="s">
        <v>97</v>
      </c>
      <c r="AN116" s="142" t="s">
        <v>97</v>
      </c>
      <c r="AO116" s="142" t="s">
        <v>97</v>
      </c>
      <c r="AP116" s="142" t="s">
        <v>97</v>
      </c>
      <c r="AQ116" s="142" t="s">
        <v>97</v>
      </c>
      <c r="AR116" s="142" t="s">
        <v>97</v>
      </c>
      <c r="AS116" s="142" t="s">
        <v>97</v>
      </c>
      <c r="AT116" s="142" t="s">
        <v>97</v>
      </c>
      <c r="AU116" s="142" t="s">
        <v>97</v>
      </c>
      <c r="AV116" s="142" t="s">
        <v>97</v>
      </c>
      <c r="AW116" s="142" t="s">
        <v>97</v>
      </c>
      <c r="AX116" s="142" t="s">
        <v>97</v>
      </c>
      <c r="AY116" s="142" t="s">
        <v>97</v>
      </c>
      <c r="AZ116" s="142" t="s">
        <v>97</v>
      </c>
      <c r="BA116" s="142" t="s">
        <v>97</v>
      </c>
      <c r="BB116" s="142" t="s">
        <v>97</v>
      </c>
      <c r="BC116" s="142" t="s">
        <v>97</v>
      </c>
      <c r="BD116" s="142" t="s">
        <v>97</v>
      </c>
      <c r="BE116" s="142" t="s">
        <v>97</v>
      </c>
      <c r="BF116" s="142" t="s">
        <v>97</v>
      </c>
      <c r="BG116" s="142" t="s">
        <v>97</v>
      </c>
      <c r="BH116" s="142" t="s">
        <v>97</v>
      </c>
      <c r="BI116" s="142" t="s">
        <v>97</v>
      </c>
      <c r="BJ116" s="142" t="s">
        <v>97</v>
      </c>
      <c r="BK116" s="142" t="s">
        <v>97</v>
      </c>
      <c r="BL116" s="142" t="s">
        <v>97</v>
      </c>
      <c r="BM116" s="142" t="s">
        <v>97</v>
      </c>
      <c r="BN116" s="142" t="s">
        <v>97</v>
      </c>
      <c r="BO116" s="142" t="s">
        <v>97</v>
      </c>
      <c r="BP116" s="142" t="s">
        <v>97</v>
      </c>
      <c r="BQ116" s="142" t="s">
        <v>97</v>
      </c>
      <c r="BR116" s="142" t="s">
        <v>97</v>
      </c>
      <c r="BS116" s="142" t="s">
        <v>97</v>
      </c>
      <c r="BT116" s="142" t="s">
        <v>97</v>
      </c>
      <c r="BU116" s="142" t="s">
        <v>97</v>
      </c>
      <c r="BV116" s="142" t="s">
        <v>97</v>
      </c>
      <c r="BW116" s="142" t="s">
        <v>97</v>
      </c>
      <c r="BX116" s="142" t="s">
        <v>97</v>
      </c>
      <c r="BY116" s="142" t="s">
        <v>97</v>
      </c>
      <c r="BZ116" s="142" t="s">
        <v>97</v>
      </c>
      <c r="CA116" s="142" t="s">
        <v>97</v>
      </c>
      <c r="CB116" s="142" t="s">
        <v>97</v>
      </c>
      <c r="CC116" s="142" t="s">
        <v>97</v>
      </c>
      <c r="CD116" s="142" t="s">
        <v>97</v>
      </c>
      <c r="CE116" s="142" t="s">
        <v>97</v>
      </c>
      <c r="CF116" s="142" t="s">
        <v>97</v>
      </c>
      <c r="CG116" s="142" t="s">
        <v>97</v>
      </c>
      <c r="CH116" s="142" t="s">
        <v>97</v>
      </c>
      <c r="CI116" s="142" t="s">
        <v>97</v>
      </c>
      <c r="CJ116" s="142" t="s">
        <v>97</v>
      </c>
      <c r="CK116" s="142" t="s">
        <v>97</v>
      </c>
      <c r="CL116" s="142" t="s">
        <v>97</v>
      </c>
      <c r="CM116" s="142" t="s">
        <v>97</v>
      </c>
      <c r="CN116" s="142" t="s">
        <v>97</v>
      </c>
      <c r="CO116" s="142" t="s">
        <v>97</v>
      </c>
      <c r="CP116" s="142" t="s">
        <v>97</v>
      </c>
      <c r="CQ116" s="142" t="s">
        <v>97</v>
      </c>
      <c r="CR116" s="142" t="s">
        <v>97</v>
      </c>
      <c r="CS116" s="142" t="s">
        <v>97</v>
      </c>
      <c r="CT116" s="142" t="s">
        <v>97</v>
      </c>
      <c r="CU116" s="142" t="s">
        <v>97</v>
      </c>
      <c r="CV116" s="142" t="s">
        <v>97</v>
      </c>
      <c r="CW116" s="142" t="s">
        <v>97</v>
      </c>
      <c r="CX116" s="142" t="s">
        <v>97</v>
      </c>
      <c r="CY116" s="142" t="s">
        <v>97</v>
      </c>
      <c r="CZ116" s="142" t="s">
        <v>97</v>
      </c>
      <c r="DA116" s="142" t="s">
        <v>97</v>
      </c>
      <c r="DB116" s="142" t="s">
        <v>97</v>
      </c>
      <c r="DC116" s="142" t="s">
        <v>97</v>
      </c>
      <c r="DD116" s="142" t="s">
        <v>97</v>
      </c>
      <c r="DE116" s="119" t="s">
        <v>97</v>
      </c>
      <c r="DF116" s="119" t="s">
        <v>97</v>
      </c>
      <c r="DG116" s="119" t="s">
        <v>97</v>
      </c>
      <c r="DH116" s="119" t="s">
        <v>97</v>
      </c>
      <c r="DI116" s="119" t="s">
        <v>97</v>
      </c>
      <c r="DJ116" s="119" t="s">
        <v>97</v>
      </c>
      <c r="DK116" s="119" t="s">
        <v>97</v>
      </c>
      <c r="DL116" s="119" t="s">
        <v>97</v>
      </c>
      <c r="DM116" s="119" t="s">
        <v>97</v>
      </c>
      <c r="DN116" s="119" t="s">
        <v>97</v>
      </c>
      <c r="DO116" s="119" t="s">
        <v>97</v>
      </c>
      <c r="DP116" s="120" t="s">
        <v>97</v>
      </c>
      <c r="DW116" s="114" t="s">
        <v>97</v>
      </c>
      <c r="DX116" s="114" t="s">
        <v>97</v>
      </c>
      <c r="DY116" s="114" t="s">
        <v>97</v>
      </c>
      <c r="DZ116" s="114" t="s">
        <v>97</v>
      </c>
    </row>
    <row r="117" spans="1:130" s="186" customFormat="1" ht="15.75" outlineLevel="1" thickBot="1">
      <c r="A117" s="636"/>
      <c r="B117" s="58" t="str">
        <f t="shared" si="13"/>
        <v xml:space="preserve"> </v>
      </c>
      <c r="C117" s="58" t="str">
        <f t="shared" si="14"/>
        <v xml:space="preserve"> </v>
      </c>
      <c r="D117" s="58" t="str">
        <f t="shared" si="15"/>
        <v xml:space="preserve"> </v>
      </c>
      <c r="E117" s="58" t="str">
        <f t="shared" si="16"/>
        <v xml:space="preserve"> </v>
      </c>
      <c r="F117" s="636"/>
      <c r="G117" s="134" t="s">
        <v>97</v>
      </c>
      <c r="H117" s="294" t="s">
        <v>97</v>
      </c>
      <c r="I117" s="295" t="s">
        <v>97</v>
      </c>
      <c r="J117" s="295" t="s">
        <v>97</v>
      </c>
      <c r="K117" s="295" t="s">
        <v>97</v>
      </c>
      <c r="L117" s="295" t="s">
        <v>97</v>
      </c>
      <c r="M117" s="295" t="s">
        <v>97</v>
      </c>
      <c r="N117" s="295" t="s">
        <v>97</v>
      </c>
      <c r="O117" s="295" t="s">
        <v>97</v>
      </c>
      <c r="P117" s="295" t="s">
        <v>97</v>
      </c>
      <c r="Q117" s="295" t="s">
        <v>97</v>
      </c>
      <c r="R117" s="295" t="s">
        <v>97</v>
      </c>
      <c r="S117" s="295" t="s">
        <v>97</v>
      </c>
      <c r="T117" s="295" t="s">
        <v>97</v>
      </c>
      <c r="U117" s="295" t="s">
        <v>97</v>
      </c>
      <c r="V117" s="295" t="s">
        <v>97</v>
      </c>
      <c r="W117" s="295" t="s">
        <v>97</v>
      </c>
      <c r="X117" s="295" t="s">
        <v>97</v>
      </c>
      <c r="Y117" s="295" t="s">
        <v>97</v>
      </c>
      <c r="Z117" s="295" t="s">
        <v>97</v>
      </c>
      <c r="AA117" s="295" t="s">
        <v>97</v>
      </c>
      <c r="AB117" s="295" t="s">
        <v>97</v>
      </c>
      <c r="AC117" s="295" t="s">
        <v>97</v>
      </c>
      <c r="AD117" s="295" t="s">
        <v>97</v>
      </c>
      <c r="AE117" s="295" t="s">
        <v>97</v>
      </c>
      <c r="AF117" s="295" t="s">
        <v>97</v>
      </c>
      <c r="AG117" s="295" t="s">
        <v>97</v>
      </c>
      <c r="AH117" s="295" t="s">
        <v>97</v>
      </c>
      <c r="AI117" s="295" t="s">
        <v>97</v>
      </c>
      <c r="AJ117" s="295" t="s">
        <v>97</v>
      </c>
      <c r="AK117" s="295" t="s">
        <v>97</v>
      </c>
      <c r="AL117" s="295" t="s">
        <v>97</v>
      </c>
      <c r="AM117" s="295" t="s">
        <v>97</v>
      </c>
      <c r="AN117" s="295" t="s">
        <v>97</v>
      </c>
      <c r="AO117" s="295" t="s">
        <v>97</v>
      </c>
      <c r="AP117" s="295" t="s">
        <v>97</v>
      </c>
      <c r="AQ117" s="295" t="s">
        <v>97</v>
      </c>
      <c r="AR117" s="295" t="s">
        <v>97</v>
      </c>
      <c r="AS117" s="295" t="s">
        <v>97</v>
      </c>
      <c r="AT117" s="295" t="s">
        <v>97</v>
      </c>
      <c r="AU117" s="295" t="s">
        <v>97</v>
      </c>
      <c r="AV117" s="295" t="s">
        <v>97</v>
      </c>
      <c r="AW117" s="295" t="s">
        <v>97</v>
      </c>
      <c r="AX117" s="295" t="s">
        <v>97</v>
      </c>
      <c r="AY117" s="295" t="s">
        <v>97</v>
      </c>
      <c r="AZ117" s="295" t="s">
        <v>97</v>
      </c>
      <c r="BA117" s="295" t="s">
        <v>97</v>
      </c>
      <c r="BB117" s="295" t="s">
        <v>97</v>
      </c>
      <c r="BC117" s="295" t="s">
        <v>97</v>
      </c>
      <c r="BD117" s="295" t="s">
        <v>97</v>
      </c>
      <c r="BE117" s="295" t="s">
        <v>97</v>
      </c>
      <c r="BF117" s="295" t="s">
        <v>97</v>
      </c>
      <c r="BG117" s="295" t="s">
        <v>97</v>
      </c>
      <c r="BH117" s="295" t="s">
        <v>97</v>
      </c>
      <c r="BI117" s="295" t="s">
        <v>97</v>
      </c>
      <c r="BJ117" s="295" t="s">
        <v>97</v>
      </c>
      <c r="BK117" s="295" t="s">
        <v>97</v>
      </c>
      <c r="BL117" s="295" t="s">
        <v>97</v>
      </c>
      <c r="BM117" s="295" t="s">
        <v>97</v>
      </c>
      <c r="BN117" s="295" t="s">
        <v>97</v>
      </c>
      <c r="BO117" s="295" t="s">
        <v>97</v>
      </c>
      <c r="BP117" s="295" t="s">
        <v>97</v>
      </c>
      <c r="BQ117" s="295" t="s">
        <v>97</v>
      </c>
      <c r="BR117" s="295" t="s">
        <v>97</v>
      </c>
      <c r="BS117" s="295" t="s">
        <v>97</v>
      </c>
      <c r="BT117" s="295" t="s">
        <v>97</v>
      </c>
      <c r="BU117" s="295" t="s">
        <v>97</v>
      </c>
      <c r="BV117" s="295" t="s">
        <v>97</v>
      </c>
      <c r="BW117" s="295" t="s">
        <v>97</v>
      </c>
      <c r="BX117" s="295" t="s">
        <v>97</v>
      </c>
      <c r="BY117" s="295" t="s">
        <v>97</v>
      </c>
      <c r="BZ117" s="295" t="s">
        <v>97</v>
      </c>
      <c r="CA117" s="295" t="s">
        <v>97</v>
      </c>
      <c r="CB117" s="295" t="s">
        <v>97</v>
      </c>
      <c r="CC117" s="295" t="s">
        <v>97</v>
      </c>
      <c r="CD117" s="295" t="s">
        <v>97</v>
      </c>
      <c r="CE117" s="295" t="s">
        <v>97</v>
      </c>
      <c r="CF117" s="295" t="s">
        <v>97</v>
      </c>
      <c r="CG117" s="295" t="s">
        <v>97</v>
      </c>
      <c r="CH117" s="295" t="s">
        <v>97</v>
      </c>
      <c r="CI117" s="295" t="s">
        <v>97</v>
      </c>
      <c r="CJ117" s="295" t="s">
        <v>97</v>
      </c>
      <c r="CK117" s="295" t="s">
        <v>97</v>
      </c>
      <c r="CL117" s="295" t="s">
        <v>97</v>
      </c>
      <c r="CM117" s="295" t="s">
        <v>97</v>
      </c>
      <c r="CN117" s="295" t="s">
        <v>97</v>
      </c>
      <c r="CO117" s="295" t="s">
        <v>97</v>
      </c>
      <c r="CP117" s="295" t="s">
        <v>97</v>
      </c>
      <c r="CQ117" s="295" t="s">
        <v>97</v>
      </c>
      <c r="CR117" s="295" t="s">
        <v>97</v>
      </c>
      <c r="CS117" s="295" t="s">
        <v>97</v>
      </c>
      <c r="CT117" s="295" t="s">
        <v>97</v>
      </c>
      <c r="CU117" s="295" t="s">
        <v>97</v>
      </c>
      <c r="CV117" s="295" t="s">
        <v>97</v>
      </c>
      <c r="CW117" s="295" t="s">
        <v>97</v>
      </c>
      <c r="CX117" s="295" t="s">
        <v>97</v>
      </c>
      <c r="CY117" s="295" t="s">
        <v>97</v>
      </c>
      <c r="CZ117" s="295" t="s">
        <v>97</v>
      </c>
      <c r="DA117" s="295" t="s">
        <v>97</v>
      </c>
      <c r="DB117" s="295" t="s">
        <v>97</v>
      </c>
      <c r="DC117" s="295" t="s">
        <v>97</v>
      </c>
      <c r="DD117" s="295" t="s">
        <v>97</v>
      </c>
      <c r="DE117" s="296" t="s">
        <v>97</v>
      </c>
      <c r="DF117" s="296" t="s">
        <v>97</v>
      </c>
      <c r="DG117" s="296" t="s">
        <v>97</v>
      </c>
      <c r="DH117" s="296" t="s">
        <v>97</v>
      </c>
      <c r="DI117" s="296" t="s">
        <v>97</v>
      </c>
      <c r="DJ117" s="296" t="s">
        <v>97</v>
      </c>
      <c r="DK117" s="296" t="s">
        <v>97</v>
      </c>
      <c r="DL117" s="296" t="s">
        <v>97</v>
      </c>
      <c r="DM117" s="296" t="s">
        <v>97</v>
      </c>
      <c r="DN117" s="296" t="s">
        <v>97</v>
      </c>
      <c r="DO117" s="296" t="s">
        <v>97</v>
      </c>
      <c r="DP117" s="297" t="s">
        <v>97</v>
      </c>
      <c r="DW117" s="116" t="s">
        <v>97</v>
      </c>
      <c r="DX117" s="116" t="s">
        <v>97</v>
      </c>
      <c r="DY117" s="116" t="s">
        <v>97</v>
      </c>
      <c r="DZ117" s="116" t="s">
        <v>97</v>
      </c>
    </row>
    <row r="118" spans="1:130" s="71" customFormat="1">
      <c r="A118" s="629" t="s">
        <v>925</v>
      </c>
      <c r="B118" s="86" t="str">
        <f t="shared" si="13"/>
        <v xml:space="preserve"> </v>
      </c>
      <c r="C118" s="86" t="str">
        <f t="shared" si="14"/>
        <v xml:space="preserve"> </v>
      </c>
      <c r="D118" s="86" t="str">
        <f t="shared" si="15"/>
        <v xml:space="preserve"> </v>
      </c>
      <c r="E118" s="86" t="str">
        <f t="shared" si="16"/>
        <v xml:space="preserve"> </v>
      </c>
      <c r="F118" s="629" t="s">
        <v>925</v>
      </c>
      <c r="G118" s="632"/>
      <c r="H118" s="306" t="s">
        <v>97</v>
      </c>
      <c r="I118" s="307" t="s">
        <v>97</v>
      </c>
      <c r="J118" s="307" t="s">
        <v>97</v>
      </c>
      <c r="K118" s="307" t="s">
        <v>97</v>
      </c>
      <c r="L118" s="323" t="s">
        <v>145</v>
      </c>
      <c r="M118" s="307" t="s">
        <v>97</v>
      </c>
      <c r="N118" s="307" t="s">
        <v>716</v>
      </c>
      <c r="O118" s="307" t="s">
        <v>705</v>
      </c>
      <c r="P118" s="307" t="s">
        <v>97</v>
      </c>
      <c r="Q118" s="307" t="s">
        <v>97</v>
      </c>
      <c r="R118" s="323" t="s">
        <v>106</v>
      </c>
      <c r="S118" s="307" t="s">
        <v>97</v>
      </c>
      <c r="T118" s="307" t="s">
        <v>137</v>
      </c>
      <c r="U118" s="307" t="s">
        <v>106</v>
      </c>
      <c r="V118" s="323" t="s">
        <v>106</v>
      </c>
      <c r="W118" s="307" t="s">
        <v>524</v>
      </c>
      <c r="X118" s="307" t="s">
        <v>97</v>
      </c>
      <c r="Y118" s="307" t="s">
        <v>106</v>
      </c>
      <c r="Z118" s="307"/>
      <c r="AA118" s="307" t="s">
        <v>97</v>
      </c>
      <c r="AB118" s="307" t="s">
        <v>529</v>
      </c>
      <c r="AC118" s="307" t="s">
        <v>706</v>
      </c>
      <c r="AD118" s="307" t="s">
        <v>704</v>
      </c>
      <c r="AE118" s="307" t="s">
        <v>709</v>
      </c>
      <c r="AF118" s="307" t="s">
        <v>137</v>
      </c>
      <c r="AG118" s="307" t="s">
        <v>702</v>
      </c>
      <c r="AH118" s="307" t="s">
        <v>97</v>
      </c>
      <c r="AI118" s="307" t="s">
        <v>97</v>
      </c>
      <c r="AJ118" s="307" t="s">
        <v>717</v>
      </c>
      <c r="AK118" s="307" t="s">
        <v>706</v>
      </c>
      <c r="AL118" s="307" t="s">
        <v>706</v>
      </c>
      <c r="AM118" s="307" t="s">
        <v>97</v>
      </c>
      <c r="AN118" s="307" t="s">
        <v>97</v>
      </c>
      <c r="AO118" s="307" t="s">
        <v>134</v>
      </c>
      <c r="AP118" s="307" t="s">
        <v>97</v>
      </c>
      <c r="AQ118" s="307" t="s">
        <v>97</v>
      </c>
      <c r="AR118" s="307" t="s">
        <v>140</v>
      </c>
      <c r="AS118" s="307" t="s">
        <v>702</v>
      </c>
      <c r="AT118" s="307" t="s">
        <v>706</v>
      </c>
      <c r="AU118" s="307" t="s">
        <v>124</v>
      </c>
      <c r="AV118" s="307" t="s">
        <v>97</v>
      </c>
      <c r="AW118" s="307" t="s">
        <v>97</v>
      </c>
      <c r="AX118" s="307" t="s">
        <v>97</v>
      </c>
      <c r="AY118" s="307" t="s">
        <v>97</v>
      </c>
      <c r="AZ118" s="307" t="s">
        <v>97</v>
      </c>
      <c r="BA118" s="307" t="s">
        <v>709</v>
      </c>
      <c r="BB118" s="307" t="s">
        <v>137</v>
      </c>
      <c r="BC118" s="307" t="s">
        <v>137</v>
      </c>
      <c r="BD118" s="323" t="s">
        <v>529</v>
      </c>
      <c r="BE118" s="307" t="s">
        <v>97</v>
      </c>
      <c r="BF118" s="307" t="s">
        <v>143</v>
      </c>
      <c r="BG118" s="307" t="s">
        <v>147</v>
      </c>
      <c r="BH118" s="323" t="s">
        <v>122</v>
      </c>
      <c r="BI118" s="307" t="s">
        <v>106</v>
      </c>
      <c r="BJ118" s="307" t="s">
        <v>97</v>
      </c>
      <c r="BK118" s="307" t="s">
        <v>97</v>
      </c>
      <c r="BL118" s="307" t="s">
        <v>709</v>
      </c>
      <c r="BM118" s="307" t="s">
        <v>97</v>
      </c>
      <c r="BN118" s="307" t="s">
        <v>97</v>
      </c>
      <c r="BO118" s="307" t="s">
        <v>97</v>
      </c>
      <c r="BP118" s="307" t="s">
        <v>709</v>
      </c>
      <c r="BQ118" s="307" t="s">
        <v>97</v>
      </c>
      <c r="BR118" s="307" t="s">
        <v>97</v>
      </c>
      <c r="BS118" s="307" t="s">
        <v>97</v>
      </c>
      <c r="BT118" s="307" t="s">
        <v>97</v>
      </c>
      <c r="BU118" s="307" t="s">
        <v>97</v>
      </c>
      <c r="BV118" s="307" t="s">
        <v>706</v>
      </c>
      <c r="BW118" s="307" t="s">
        <v>97</v>
      </c>
      <c r="BX118" s="307" t="s">
        <v>97</v>
      </c>
      <c r="BY118" s="307" t="s">
        <v>97</v>
      </c>
      <c r="BZ118" s="307" t="s">
        <v>706</v>
      </c>
      <c r="CA118" s="307" t="s">
        <v>97</v>
      </c>
      <c r="CB118" s="307" t="s">
        <v>709</v>
      </c>
      <c r="CC118" s="307" t="s">
        <v>106</v>
      </c>
      <c r="CD118" s="307" t="s">
        <v>97</v>
      </c>
      <c r="CE118" s="307" t="s">
        <v>97</v>
      </c>
      <c r="CF118" s="307" t="s">
        <v>97</v>
      </c>
      <c r="CG118" s="307" t="s">
        <v>140</v>
      </c>
      <c r="CH118" s="307"/>
      <c r="CI118" s="323" t="s">
        <v>706</v>
      </c>
      <c r="CJ118" s="307" t="s">
        <v>716</v>
      </c>
      <c r="CK118" s="307" t="s">
        <v>164</v>
      </c>
      <c r="CL118" s="307" t="s">
        <v>97</v>
      </c>
      <c r="CM118" s="307" t="s">
        <v>97</v>
      </c>
      <c r="CN118" s="307" t="s">
        <v>97</v>
      </c>
      <c r="CO118" s="307" t="s">
        <v>716</v>
      </c>
      <c r="CP118" s="307" t="s">
        <v>97</v>
      </c>
      <c r="CQ118" s="307" t="s">
        <v>706</v>
      </c>
      <c r="CR118" s="307" t="s">
        <v>97</v>
      </c>
      <c r="CS118" s="307" t="s">
        <v>97</v>
      </c>
      <c r="CT118" s="307" t="s">
        <v>705</v>
      </c>
      <c r="CU118" s="307" t="s">
        <v>134</v>
      </c>
      <c r="CV118" s="323" t="s">
        <v>164</v>
      </c>
      <c r="CW118" s="307" t="s">
        <v>97</v>
      </c>
      <c r="CX118" s="307" t="s">
        <v>97</v>
      </c>
      <c r="CY118" s="307" t="s">
        <v>705</v>
      </c>
      <c r="CZ118" s="307" t="s">
        <v>147</v>
      </c>
      <c r="DA118" s="307" t="s">
        <v>144</v>
      </c>
      <c r="DB118" s="307" t="s">
        <v>97</v>
      </c>
      <c r="DC118" s="307" t="s">
        <v>164</v>
      </c>
      <c r="DD118" s="307" t="s">
        <v>97</v>
      </c>
      <c r="DE118" s="308" t="s">
        <v>97</v>
      </c>
      <c r="DF118" s="308" t="s">
        <v>159</v>
      </c>
      <c r="DG118" s="308" t="s">
        <v>97</v>
      </c>
      <c r="DH118" s="308" t="s">
        <v>97</v>
      </c>
      <c r="DI118" s="308" t="s">
        <v>97</v>
      </c>
      <c r="DJ118" s="308" t="s">
        <v>106</v>
      </c>
      <c r="DK118" s="308" t="s">
        <v>106</v>
      </c>
      <c r="DL118" s="308" t="s">
        <v>106</v>
      </c>
      <c r="DM118" s="308" t="s">
        <v>97</v>
      </c>
      <c r="DN118" s="308" t="s">
        <v>97</v>
      </c>
      <c r="DO118" s="308" t="s">
        <v>97</v>
      </c>
      <c r="DP118" s="309" t="s">
        <v>97</v>
      </c>
      <c r="DW118" s="291" t="s">
        <v>97</v>
      </c>
      <c r="DX118" s="291" t="s">
        <v>97</v>
      </c>
      <c r="DY118" s="291" t="s">
        <v>97</v>
      </c>
      <c r="DZ118" s="291" t="s">
        <v>97</v>
      </c>
    </row>
    <row r="119" spans="1:130" s="71" customFormat="1">
      <c r="A119" s="630"/>
      <c r="B119" s="57" t="str">
        <f t="shared" si="13"/>
        <v xml:space="preserve"> </v>
      </c>
      <c r="C119" s="57" t="str">
        <f t="shared" si="14"/>
        <v xml:space="preserve"> </v>
      </c>
      <c r="D119" s="57" t="str">
        <f t="shared" si="15"/>
        <v xml:space="preserve"> </v>
      </c>
      <c r="E119" s="57">
        <f t="shared" si="16"/>
        <v>0</v>
      </c>
      <c r="F119" s="630"/>
      <c r="G119" s="633"/>
      <c r="H119" s="310" t="s">
        <v>97</v>
      </c>
      <c r="I119" s="310" t="s">
        <v>97</v>
      </c>
      <c r="J119" s="310" t="s">
        <v>97</v>
      </c>
      <c r="K119" s="310" t="s">
        <v>97</v>
      </c>
      <c r="L119" s="310" t="s">
        <v>97</v>
      </c>
      <c r="M119" s="310" t="s">
        <v>97</v>
      </c>
      <c r="N119" s="310" t="s">
        <v>97</v>
      </c>
      <c r="O119" s="310" t="s">
        <v>97</v>
      </c>
      <c r="P119" s="310" t="s">
        <v>97</v>
      </c>
      <c r="Q119" s="310" t="s">
        <v>97</v>
      </c>
      <c r="R119" s="310" t="s">
        <v>97</v>
      </c>
      <c r="S119" s="310" t="s">
        <v>97</v>
      </c>
      <c r="T119" s="323" t="s">
        <v>144</v>
      </c>
      <c r="U119" s="310" t="s">
        <v>97</v>
      </c>
      <c r="V119" s="310" t="s">
        <v>97</v>
      </c>
      <c r="W119" s="310" t="s">
        <v>97</v>
      </c>
      <c r="X119" s="310" t="s">
        <v>97</v>
      </c>
      <c r="Y119" s="323" t="s">
        <v>137</v>
      </c>
      <c r="Z119" s="310" t="s">
        <v>97</v>
      </c>
      <c r="AA119" s="310" t="s">
        <v>97</v>
      </c>
      <c r="AB119" s="310" t="s">
        <v>97</v>
      </c>
      <c r="AC119" s="310" t="s">
        <v>97</v>
      </c>
      <c r="AD119" s="310" t="s">
        <v>97</v>
      </c>
      <c r="AE119" s="310" t="s">
        <v>97</v>
      </c>
      <c r="AF119" s="323" t="s">
        <v>701</v>
      </c>
      <c r="AG119" s="323" t="s">
        <v>524</v>
      </c>
      <c r="AH119" s="304"/>
      <c r="AI119" s="304"/>
      <c r="AJ119" s="304"/>
      <c r="AK119" s="304"/>
      <c r="AL119" s="304"/>
      <c r="AM119" s="304"/>
      <c r="AN119" s="304"/>
      <c r="AO119" s="304"/>
      <c r="AP119" s="304"/>
      <c r="AQ119" s="304"/>
      <c r="AR119" s="304"/>
      <c r="AS119" s="323" t="s">
        <v>716</v>
      </c>
      <c r="AT119" s="323" t="s">
        <v>117</v>
      </c>
      <c r="AU119" s="304" t="s">
        <v>97</v>
      </c>
      <c r="AV119" s="304" t="s">
        <v>97</v>
      </c>
      <c r="AW119" s="304" t="s">
        <v>97</v>
      </c>
      <c r="AX119" s="304" t="s">
        <v>97</v>
      </c>
      <c r="AY119" s="304" t="s">
        <v>97</v>
      </c>
      <c r="AZ119" s="304" t="s">
        <v>97</v>
      </c>
      <c r="BA119" s="304" t="s">
        <v>97</v>
      </c>
      <c r="BB119" s="304" t="s">
        <v>97</v>
      </c>
      <c r="BC119" s="304" t="s">
        <v>97</v>
      </c>
      <c r="BD119" s="304" t="s">
        <v>97</v>
      </c>
      <c r="BE119" s="304" t="s">
        <v>97</v>
      </c>
      <c r="BF119" s="323" t="s">
        <v>134</v>
      </c>
      <c r="BG119" s="304" t="s">
        <v>97</v>
      </c>
      <c r="BH119" s="304" t="s">
        <v>97</v>
      </c>
      <c r="BI119" s="323" t="s">
        <v>134</v>
      </c>
      <c r="BJ119" s="304" t="s">
        <v>97</v>
      </c>
      <c r="BK119" s="304" t="s">
        <v>97</v>
      </c>
      <c r="BL119" s="304" t="s">
        <v>97</v>
      </c>
      <c r="BM119" s="304" t="s">
        <v>97</v>
      </c>
      <c r="BN119" s="304" t="s">
        <v>97</v>
      </c>
      <c r="BO119" s="304" t="s">
        <v>97</v>
      </c>
      <c r="BP119" s="304" t="s">
        <v>97</v>
      </c>
      <c r="BQ119" s="304" t="s">
        <v>97</v>
      </c>
      <c r="BR119" s="304" t="s">
        <v>97</v>
      </c>
      <c r="BS119" s="304" t="s">
        <v>97</v>
      </c>
      <c r="BT119" s="304" t="s">
        <v>97</v>
      </c>
      <c r="BU119" s="304" t="s">
        <v>97</v>
      </c>
      <c r="BV119" s="304" t="s">
        <v>97</v>
      </c>
      <c r="BW119" s="304" t="s">
        <v>97</v>
      </c>
      <c r="BX119" s="304" t="s">
        <v>97</v>
      </c>
      <c r="BY119" s="304" t="s">
        <v>97</v>
      </c>
      <c r="BZ119" s="304" t="s">
        <v>97</v>
      </c>
      <c r="CA119" s="304" t="s">
        <v>97</v>
      </c>
      <c r="CB119" s="323" t="s">
        <v>159</v>
      </c>
      <c r="CC119" s="304" t="s">
        <v>97</v>
      </c>
      <c r="CD119" s="304" t="s">
        <v>97</v>
      </c>
      <c r="CE119" s="304" t="s">
        <v>97</v>
      </c>
      <c r="CF119" s="304" t="s">
        <v>97</v>
      </c>
      <c r="CG119" s="323" t="s">
        <v>702</v>
      </c>
      <c r="CH119" s="304" t="s">
        <v>97</v>
      </c>
      <c r="CI119" s="323" t="s">
        <v>717</v>
      </c>
      <c r="CJ119" s="304" t="s">
        <v>97</v>
      </c>
      <c r="CK119" s="323" t="s">
        <v>522</v>
      </c>
      <c r="CL119" s="304" t="s">
        <v>97</v>
      </c>
      <c r="CM119" s="304" t="s">
        <v>97</v>
      </c>
      <c r="CN119" s="304" t="s">
        <v>97</v>
      </c>
      <c r="CO119" s="304" t="s">
        <v>97</v>
      </c>
      <c r="CP119" s="304" t="s">
        <v>97</v>
      </c>
      <c r="CQ119" s="304" t="s">
        <v>97</v>
      </c>
      <c r="CR119" s="304" t="s">
        <v>97</v>
      </c>
      <c r="CS119" s="304" t="s">
        <v>97</v>
      </c>
      <c r="CT119" s="304" t="s">
        <v>97</v>
      </c>
      <c r="CU119" s="304" t="s">
        <v>97</v>
      </c>
      <c r="CV119" s="304" t="s">
        <v>97</v>
      </c>
      <c r="CW119" s="304" t="s">
        <v>97</v>
      </c>
      <c r="CX119" s="304" t="s">
        <v>97</v>
      </c>
      <c r="CY119" s="323" t="s">
        <v>145</v>
      </c>
      <c r="CZ119" s="304" t="s">
        <v>97</v>
      </c>
      <c r="DA119" s="304" t="s">
        <v>97</v>
      </c>
      <c r="DB119" s="304" t="s">
        <v>97</v>
      </c>
      <c r="DC119" s="304" t="s">
        <v>97</v>
      </c>
      <c r="DD119" s="304" t="s">
        <v>97</v>
      </c>
      <c r="DE119" s="304" t="s">
        <v>97</v>
      </c>
      <c r="DF119" s="324" t="s">
        <v>176</v>
      </c>
      <c r="DG119" s="304" t="s">
        <v>97</v>
      </c>
      <c r="DH119" s="304" t="s">
        <v>97</v>
      </c>
      <c r="DI119" s="304" t="s">
        <v>97</v>
      </c>
      <c r="DJ119" s="304" t="s">
        <v>97</v>
      </c>
      <c r="DK119" s="304" t="s">
        <v>97</v>
      </c>
      <c r="DL119" s="304" t="s">
        <v>97</v>
      </c>
      <c r="DM119" s="304" t="s">
        <v>97</v>
      </c>
      <c r="DN119" s="304" t="s">
        <v>97</v>
      </c>
      <c r="DO119" s="304" t="s">
        <v>97</v>
      </c>
      <c r="DP119" s="304" t="s">
        <v>97</v>
      </c>
      <c r="DW119" s="291" t="s">
        <v>97</v>
      </c>
      <c r="DX119" s="291" t="s">
        <v>97</v>
      </c>
      <c r="DY119" s="291" t="s">
        <v>97</v>
      </c>
      <c r="DZ119" s="291" t="s">
        <v>97</v>
      </c>
    </row>
    <row r="120" spans="1:130" s="71" customFormat="1">
      <c r="A120" s="630"/>
      <c r="B120" s="57" t="str">
        <f t="shared" si="13"/>
        <v xml:space="preserve"> </v>
      </c>
      <c r="C120" s="57" t="str">
        <f t="shared" si="14"/>
        <v xml:space="preserve"> </v>
      </c>
      <c r="D120" s="57" t="str">
        <f t="shared" si="15"/>
        <v xml:space="preserve"> </v>
      </c>
      <c r="E120" s="57">
        <f t="shared" si="16"/>
        <v>0</v>
      </c>
      <c r="F120" s="630"/>
      <c r="G120" s="633"/>
      <c r="H120" s="310" t="s">
        <v>97</v>
      </c>
      <c r="I120" s="310" t="s">
        <v>97</v>
      </c>
      <c r="J120" s="310" t="s">
        <v>97</v>
      </c>
      <c r="K120" s="310" t="s">
        <v>97</v>
      </c>
      <c r="L120" s="310" t="s">
        <v>97</v>
      </c>
      <c r="M120" s="310" t="s">
        <v>97</v>
      </c>
      <c r="N120" s="310" t="s">
        <v>97</v>
      </c>
      <c r="O120" s="310" t="s">
        <v>97</v>
      </c>
      <c r="P120" s="310" t="s">
        <v>97</v>
      </c>
      <c r="Q120" s="310" t="s">
        <v>97</v>
      </c>
      <c r="R120" s="310" t="s">
        <v>97</v>
      </c>
      <c r="S120" s="310" t="s">
        <v>97</v>
      </c>
      <c r="T120" s="304" t="s">
        <v>97</v>
      </c>
      <c r="U120" s="310" t="s">
        <v>97</v>
      </c>
      <c r="V120" s="310" t="s">
        <v>97</v>
      </c>
      <c r="W120" s="310" t="s">
        <v>97</v>
      </c>
      <c r="X120" s="310" t="s">
        <v>97</v>
      </c>
      <c r="Y120" s="323" t="s">
        <v>524</v>
      </c>
      <c r="Z120" s="310" t="s">
        <v>97</v>
      </c>
      <c r="AA120" s="310" t="s">
        <v>97</v>
      </c>
      <c r="AB120" s="310" t="s">
        <v>97</v>
      </c>
      <c r="AC120" s="310" t="s">
        <v>97</v>
      </c>
      <c r="AD120" s="310" t="s">
        <v>97</v>
      </c>
      <c r="AE120" s="310" t="s">
        <v>97</v>
      </c>
      <c r="AF120" s="304" t="s">
        <v>97</v>
      </c>
      <c r="AG120" s="304" t="s">
        <v>97</v>
      </c>
      <c r="AH120" s="304"/>
      <c r="AI120" s="304"/>
      <c r="AJ120" s="304"/>
      <c r="AK120" s="304"/>
      <c r="AL120" s="304"/>
      <c r="AM120" s="304"/>
      <c r="AN120" s="304"/>
      <c r="AO120" s="304"/>
      <c r="AP120" s="304"/>
      <c r="AQ120" s="304"/>
      <c r="AR120" s="304"/>
      <c r="AS120" s="323" t="s">
        <v>524</v>
      </c>
      <c r="AT120" s="323" t="s">
        <v>121</v>
      </c>
      <c r="AU120" s="304" t="s">
        <v>97</v>
      </c>
      <c r="AV120" s="304" t="s">
        <v>97</v>
      </c>
      <c r="AW120" s="304" t="s">
        <v>97</v>
      </c>
      <c r="AX120" s="304" t="s">
        <v>97</v>
      </c>
      <c r="AY120" s="304" t="s">
        <v>97</v>
      </c>
      <c r="AZ120" s="304" t="s">
        <v>97</v>
      </c>
      <c r="BA120" s="304" t="s">
        <v>97</v>
      </c>
      <c r="BB120" s="304" t="s">
        <v>97</v>
      </c>
      <c r="BC120" s="304" t="s">
        <v>97</v>
      </c>
      <c r="BD120" s="304" t="s">
        <v>97</v>
      </c>
      <c r="BE120" s="304" t="s">
        <v>97</v>
      </c>
      <c r="BF120" s="323" t="s">
        <v>145</v>
      </c>
      <c r="BG120" s="304" t="s">
        <v>97</v>
      </c>
      <c r="BH120" s="304" t="s">
        <v>97</v>
      </c>
      <c r="BI120" s="304"/>
      <c r="BJ120" s="304" t="s">
        <v>97</v>
      </c>
      <c r="BK120" s="304" t="s">
        <v>97</v>
      </c>
      <c r="BL120" s="304" t="s">
        <v>97</v>
      </c>
      <c r="BM120" s="304" t="s">
        <v>97</v>
      </c>
      <c r="BN120" s="304" t="s">
        <v>97</v>
      </c>
      <c r="BO120" s="304" t="s">
        <v>97</v>
      </c>
      <c r="BP120" s="304" t="s">
        <v>97</v>
      </c>
      <c r="BQ120" s="304" t="s">
        <v>97</v>
      </c>
      <c r="BR120" s="304" t="s">
        <v>97</v>
      </c>
      <c r="BS120" s="304" t="s">
        <v>97</v>
      </c>
      <c r="BT120" s="304" t="s">
        <v>97</v>
      </c>
      <c r="BU120" s="304" t="s">
        <v>97</v>
      </c>
      <c r="BV120" s="304" t="s">
        <v>97</v>
      </c>
      <c r="BW120" s="304" t="s">
        <v>97</v>
      </c>
      <c r="BX120" s="304" t="s">
        <v>97</v>
      </c>
      <c r="BY120" s="304" t="s">
        <v>97</v>
      </c>
      <c r="BZ120" s="304" t="s">
        <v>97</v>
      </c>
      <c r="CA120" s="304" t="s">
        <v>97</v>
      </c>
      <c r="CB120" s="304"/>
      <c r="CC120" s="304" t="s">
        <v>97</v>
      </c>
      <c r="CD120" s="304" t="s">
        <v>97</v>
      </c>
      <c r="CE120" s="304" t="s">
        <v>97</v>
      </c>
      <c r="CF120" s="304" t="s">
        <v>97</v>
      </c>
      <c r="CG120" s="304" t="s">
        <v>97</v>
      </c>
      <c r="CH120" s="304" t="s">
        <v>97</v>
      </c>
      <c r="CI120" s="304" t="s">
        <v>97</v>
      </c>
      <c r="CJ120" s="304" t="s">
        <v>97</v>
      </c>
      <c r="CK120" s="304" t="s">
        <v>97</v>
      </c>
      <c r="CL120" s="304" t="s">
        <v>97</v>
      </c>
      <c r="CM120" s="304" t="s">
        <v>97</v>
      </c>
      <c r="CN120" s="304" t="s">
        <v>97</v>
      </c>
      <c r="CO120" s="304" t="s">
        <v>97</v>
      </c>
      <c r="CP120" s="304" t="s">
        <v>97</v>
      </c>
      <c r="CQ120" s="304" t="s">
        <v>97</v>
      </c>
      <c r="CR120" s="304" t="s">
        <v>97</v>
      </c>
      <c r="CS120" s="304" t="s">
        <v>97</v>
      </c>
      <c r="CT120" s="304" t="s">
        <v>97</v>
      </c>
      <c r="CU120" s="304" t="s">
        <v>97</v>
      </c>
      <c r="CV120" s="304" t="s">
        <v>97</v>
      </c>
      <c r="CW120" s="304" t="s">
        <v>97</v>
      </c>
      <c r="CX120" s="304" t="s">
        <v>97</v>
      </c>
      <c r="CY120" s="304" t="s">
        <v>97</v>
      </c>
      <c r="CZ120" s="304" t="s">
        <v>97</v>
      </c>
      <c r="DA120" s="304" t="s">
        <v>97</v>
      </c>
      <c r="DB120" s="304" t="s">
        <v>97</v>
      </c>
      <c r="DC120" s="304" t="s">
        <v>97</v>
      </c>
      <c r="DD120" s="304" t="s">
        <v>97</v>
      </c>
      <c r="DE120" s="304" t="s">
        <v>97</v>
      </c>
      <c r="DF120" s="305" t="s">
        <v>97</v>
      </c>
      <c r="DG120" s="304" t="s">
        <v>97</v>
      </c>
      <c r="DH120" s="304" t="s">
        <v>97</v>
      </c>
      <c r="DI120" s="304" t="s">
        <v>97</v>
      </c>
      <c r="DJ120" s="304" t="s">
        <v>97</v>
      </c>
      <c r="DK120" s="304" t="s">
        <v>97</v>
      </c>
      <c r="DL120" s="304" t="s">
        <v>97</v>
      </c>
      <c r="DM120" s="304" t="s">
        <v>97</v>
      </c>
      <c r="DN120" s="304" t="s">
        <v>97</v>
      </c>
      <c r="DO120" s="304" t="s">
        <v>97</v>
      </c>
      <c r="DP120" s="304" t="s">
        <v>97</v>
      </c>
      <c r="DW120" s="291" t="s">
        <v>97</v>
      </c>
      <c r="DX120" s="291" t="s">
        <v>97</v>
      </c>
      <c r="DY120" s="291" t="s">
        <v>97</v>
      </c>
      <c r="DZ120" s="291" t="s">
        <v>97</v>
      </c>
    </row>
    <row r="121" spans="1:130" s="71" customFormat="1" ht="15.75" thickBot="1">
      <c r="A121" s="631"/>
      <c r="B121" s="58" t="str">
        <f t="shared" si="13"/>
        <v xml:space="preserve"> </v>
      </c>
      <c r="C121" s="58" t="str">
        <f t="shared" si="14"/>
        <v xml:space="preserve"> </v>
      </c>
      <c r="D121" s="58" t="str">
        <f t="shared" si="15"/>
        <v xml:space="preserve"> </v>
      </c>
      <c r="E121" s="58">
        <f t="shared" si="16"/>
        <v>0</v>
      </c>
      <c r="F121" s="631"/>
      <c r="G121" s="634"/>
      <c r="H121" s="311" t="s">
        <v>97</v>
      </c>
      <c r="I121" s="311" t="s">
        <v>97</v>
      </c>
      <c r="J121" s="311" t="s">
        <v>97</v>
      </c>
      <c r="K121" s="311" t="s">
        <v>97</v>
      </c>
      <c r="L121" s="311" t="s">
        <v>97</v>
      </c>
      <c r="M121" s="311" t="s">
        <v>97</v>
      </c>
      <c r="N121" s="311" t="s">
        <v>97</v>
      </c>
      <c r="O121" s="311" t="s">
        <v>97</v>
      </c>
      <c r="P121" s="311" t="s">
        <v>97</v>
      </c>
      <c r="Q121" s="311" t="s">
        <v>97</v>
      </c>
      <c r="R121" s="311" t="s">
        <v>97</v>
      </c>
      <c r="S121" s="311" t="s">
        <v>97</v>
      </c>
      <c r="T121" s="312" t="s">
        <v>97</v>
      </c>
      <c r="U121" s="311" t="s">
        <v>97</v>
      </c>
      <c r="V121" s="311" t="s">
        <v>97</v>
      </c>
      <c r="W121" s="311" t="s">
        <v>97</v>
      </c>
      <c r="X121" s="311" t="s">
        <v>97</v>
      </c>
      <c r="Y121" s="323" t="s">
        <v>702</v>
      </c>
      <c r="Z121" s="311" t="s">
        <v>97</v>
      </c>
      <c r="AA121" s="311" t="s">
        <v>97</v>
      </c>
      <c r="AB121" s="311" t="s">
        <v>97</v>
      </c>
      <c r="AC121" s="311" t="s">
        <v>97</v>
      </c>
      <c r="AD121" s="311" t="s">
        <v>97</v>
      </c>
      <c r="AE121" s="311" t="s">
        <v>97</v>
      </c>
      <c r="AF121" s="312" t="s">
        <v>97</v>
      </c>
      <c r="AG121" s="312" t="s">
        <v>97</v>
      </c>
      <c r="AH121" s="312"/>
      <c r="AI121" s="312"/>
      <c r="AJ121" s="312"/>
      <c r="AK121" s="312"/>
      <c r="AL121" s="312"/>
      <c r="AM121" s="312"/>
      <c r="AN121" s="312"/>
      <c r="AO121" s="312"/>
      <c r="AP121" s="312"/>
      <c r="AQ121" s="312"/>
      <c r="AR121" s="312"/>
      <c r="AS121" s="312"/>
      <c r="AT121" s="312"/>
      <c r="AU121" s="312" t="s">
        <v>97</v>
      </c>
      <c r="AV121" s="312" t="s">
        <v>97</v>
      </c>
      <c r="AW121" s="312" t="s">
        <v>97</v>
      </c>
      <c r="AX121" s="312" t="s">
        <v>97</v>
      </c>
      <c r="AY121" s="312" t="s">
        <v>97</v>
      </c>
      <c r="AZ121" s="312" t="s">
        <v>97</v>
      </c>
      <c r="BA121" s="312" t="s">
        <v>97</v>
      </c>
      <c r="BB121" s="312" t="s">
        <v>97</v>
      </c>
      <c r="BC121" s="312" t="s">
        <v>97</v>
      </c>
      <c r="BD121" s="312" t="s">
        <v>97</v>
      </c>
      <c r="BE121" s="312" t="s">
        <v>97</v>
      </c>
      <c r="BF121" s="312"/>
      <c r="BG121" s="312" t="s">
        <v>97</v>
      </c>
      <c r="BH121" s="312" t="s">
        <v>97</v>
      </c>
      <c r="BI121" s="312"/>
      <c r="BJ121" s="312" t="s">
        <v>97</v>
      </c>
      <c r="BK121" s="312" t="s">
        <v>97</v>
      </c>
      <c r="BL121" s="312" t="s">
        <v>97</v>
      </c>
      <c r="BM121" s="312" t="s">
        <v>97</v>
      </c>
      <c r="BN121" s="312" t="s">
        <v>97</v>
      </c>
      <c r="BO121" s="312" t="s">
        <v>97</v>
      </c>
      <c r="BP121" s="312" t="s">
        <v>97</v>
      </c>
      <c r="BQ121" s="312" t="s">
        <v>97</v>
      </c>
      <c r="BR121" s="312" t="s">
        <v>97</v>
      </c>
      <c r="BS121" s="312" t="s">
        <v>97</v>
      </c>
      <c r="BT121" s="312" t="s">
        <v>97</v>
      </c>
      <c r="BU121" s="312" t="s">
        <v>97</v>
      </c>
      <c r="BV121" s="312" t="s">
        <v>97</v>
      </c>
      <c r="BW121" s="312" t="s">
        <v>97</v>
      </c>
      <c r="BX121" s="312" t="s">
        <v>97</v>
      </c>
      <c r="BY121" s="312" t="s">
        <v>97</v>
      </c>
      <c r="BZ121" s="312" t="s">
        <v>97</v>
      </c>
      <c r="CA121" s="312" t="s">
        <v>97</v>
      </c>
      <c r="CB121" s="312"/>
      <c r="CC121" s="312" t="s">
        <v>97</v>
      </c>
      <c r="CD121" s="312" t="s">
        <v>97</v>
      </c>
      <c r="CE121" s="312" t="s">
        <v>97</v>
      </c>
      <c r="CF121" s="312" t="s">
        <v>97</v>
      </c>
      <c r="CG121" s="312" t="s">
        <v>97</v>
      </c>
      <c r="CH121" s="312" t="s">
        <v>97</v>
      </c>
      <c r="CI121" s="312" t="s">
        <v>97</v>
      </c>
      <c r="CJ121" s="312" t="s">
        <v>97</v>
      </c>
      <c r="CK121" s="312" t="s">
        <v>97</v>
      </c>
      <c r="CL121" s="312" t="s">
        <v>97</v>
      </c>
      <c r="CM121" s="312" t="s">
        <v>97</v>
      </c>
      <c r="CN121" s="312" t="s">
        <v>97</v>
      </c>
      <c r="CO121" s="312" t="s">
        <v>97</v>
      </c>
      <c r="CP121" s="312" t="s">
        <v>97</v>
      </c>
      <c r="CQ121" s="312" t="s">
        <v>97</v>
      </c>
      <c r="CR121" s="312" t="s">
        <v>97</v>
      </c>
      <c r="CS121" s="312" t="s">
        <v>97</v>
      </c>
      <c r="CT121" s="312" t="s">
        <v>97</v>
      </c>
      <c r="CU121" s="312" t="s">
        <v>97</v>
      </c>
      <c r="CV121" s="312" t="s">
        <v>97</v>
      </c>
      <c r="CW121" s="312" t="s">
        <v>97</v>
      </c>
      <c r="CX121" s="312" t="s">
        <v>97</v>
      </c>
      <c r="CY121" s="312" t="s">
        <v>97</v>
      </c>
      <c r="CZ121" s="312" t="s">
        <v>97</v>
      </c>
      <c r="DA121" s="312" t="s">
        <v>97</v>
      </c>
      <c r="DB121" s="312" t="s">
        <v>97</v>
      </c>
      <c r="DC121" s="312" t="s">
        <v>97</v>
      </c>
      <c r="DD121" s="312" t="s">
        <v>97</v>
      </c>
      <c r="DE121" s="312" t="s">
        <v>97</v>
      </c>
      <c r="DF121" s="313" t="s">
        <v>97</v>
      </c>
      <c r="DG121" s="312" t="s">
        <v>97</v>
      </c>
      <c r="DH121" s="312" t="s">
        <v>97</v>
      </c>
      <c r="DI121" s="312" t="s">
        <v>97</v>
      </c>
      <c r="DJ121" s="312" t="s">
        <v>97</v>
      </c>
      <c r="DK121" s="312" t="s">
        <v>97</v>
      </c>
      <c r="DL121" s="312" t="s">
        <v>97</v>
      </c>
      <c r="DM121" s="312" t="s">
        <v>97</v>
      </c>
      <c r="DN121" s="312" t="s">
        <v>97</v>
      </c>
      <c r="DO121" s="312" t="s">
        <v>97</v>
      </c>
      <c r="DP121" s="312" t="s">
        <v>97</v>
      </c>
      <c r="DW121" s="291" t="s">
        <v>97</v>
      </c>
      <c r="DX121" s="291" t="s">
        <v>97</v>
      </c>
      <c r="DY121" s="291" t="s">
        <v>97</v>
      </c>
      <c r="DZ121" s="291" t="s">
        <v>97</v>
      </c>
    </row>
    <row r="122" spans="1:130" ht="82.5" customHeight="1" outlineLevel="1" thickBot="1">
      <c r="A122" s="292" t="s">
        <v>924</v>
      </c>
      <c r="B122" s="87">
        <f>LOOKUP(Race,$DW$1:$DZ$1,DW122:DZ122)</f>
        <v>0</v>
      </c>
      <c r="C122" s="87">
        <f t="shared" si="14"/>
        <v>0</v>
      </c>
      <c r="D122" s="87">
        <f t="shared" si="15"/>
        <v>0</v>
      </c>
      <c r="E122" s="179">
        <f t="shared" si="16"/>
        <v>0</v>
      </c>
      <c r="F122" s="292" t="s">
        <v>924</v>
      </c>
      <c r="G122" s="293" t="s">
        <v>97</v>
      </c>
      <c r="H122" s="300"/>
      <c r="I122" s="301"/>
      <c r="J122" s="301">
        <v>500</v>
      </c>
      <c r="K122" s="301">
        <f ca="1">RANDBETWEEN(1,10)</f>
        <v>4</v>
      </c>
      <c r="L122" s="301"/>
      <c r="M122" s="301"/>
      <c r="N122" s="301"/>
      <c r="O122" s="301">
        <v>100</v>
      </c>
      <c r="P122" s="301"/>
      <c r="Q122" s="301"/>
      <c r="R122" s="301"/>
      <c r="S122" s="301"/>
      <c r="T122" s="301"/>
      <c r="U122" s="301"/>
      <c r="V122" s="301"/>
      <c r="W122" s="301"/>
      <c r="X122" s="301"/>
      <c r="Y122" s="301"/>
      <c r="Z122" s="301"/>
      <c r="AA122" s="301"/>
      <c r="AB122" s="301"/>
      <c r="AC122" s="301"/>
      <c r="AD122" s="301"/>
      <c r="AE122" s="301"/>
      <c r="AF122" s="301">
        <v>25</v>
      </c>
      <c r="AG122" s="301">
        <v>25</v>
      </c>
      <c r="AH122" s="301"/>
      <c r="AI122" s="301"/>
      <c r="AJ122" s="301"/>
      <c r="AK122" s="301">
        <f ca="1">RANDBETWEEN(1,10)</f>
        <v>9</v>
      </c>
      <c r="AL122" s="301"/>
      <c r="AM122" s="301"/>
      <c r="AN122" s="301"/>
      <c r="AO122" s="301"/>
      <c r="AP122" s="301">
        <v>100</v>
      </c>
      <c r="AQ122" s="301"/>
      <c r="AR122" s="301"/>
      <c r="AS122" s="301"/>
      <c r="AT122" s="301"/>
      <c r="AU122" s="301"/>
      <c r="AV122" s="301"/>
      <c r="AW122" s="301"/>
      <c r="AX122" s="301">
        <f ca="1">RANDBETWEEN(1,10)</f>
        <v>3</v>
      </c>
      <c r="AY122" s="301"/>
      <c r="AZ122" s="301"/>
      <c r="BA122" s="301"/>
      <c r="BB122" s="301"/>
      <c r="BC122" s="301"/>
      <c r="BD122" s="301"/>
      <c r="BE122" s="301"/>
      <c r="BF122" s="301"/>
      <c r="BG122" s="301"/>
      <c r="BH122" s="301"/>
      <c r="BI122" s="301"/>
      <c r="BJ122" s="301"/>
      <c r="BK122" s="301"/>
      <c r="BL122" s="301"/>
      <c r="BM122" s="301"/>
      <c r="BN122" s="301"/>
      <c r="BO122" s="301"/>
      <c r="BP122" s="301"/>
      <c r="BQ122" s="301">
        <v>100</v>
      </c>
      <c r="BR122" s="301"/>
      <c r="BS122" s="301">
        <v>15</v>
      </c>
      <c r="BT122" s="301"/>
      <c r="BU122" s="301"/>
      <c r="BV122" s="301"/>
      <c r="BW122" s="301"/>
      <c r="BX122" s="301"/>
      <c r="BY122" s="301"/>
      <c r="BZ122" s="301"/>
      <c r="CA122" s="301"/>
      <c r="CB122" s="301"/>
      <c r="CC122" s="301"/>
      <c r="CD122" s="301"/>
      <c r="CE122" s="301"/>
      <c r="CF122" s="301"/>
      <c r="CG122" s="301"/>
      <c r="CH122" s="301"/>
      <c r="CI122" s="301"/>
      <c r="CJ122" s="301"/>
      <c r="CK122" s="301"/>
      <c r="CL122" s="301"/>
      <c r="CM122" s="301"/>
      <c r="CN122" s="301"/>
      <c r="CO122" s="301"/>
      <c r="CP122" s="301"/>
      <c r="CQ122" s="301"/>
      <c r="CR122" s="301"/>
      <c r="CS122" s="301"/>
      <c r="CT122" s="301"/>
      <c r="CU122" s="301"/>
      <c r="CV122" s="301"/>
      <c r="CW122" s="301"/>
      <c r="CX122" s="301"/>
      <c r="CY122" s="301"/>
      <c r="CZ122" s="301"/>
      <c r="DA122" s="301"/>
      <c r="DB122" s="301"/>
      <c r="DC122" s="301"/>
      <c r="DD122" s="301"/>
      <c r="DE122" s="302"/>
      <c r="DF122" s="302"/>
      <c r="DG122" s="302"/>
      <c r="DH122" s="302"/>
      <c r="DI122" s="302"/>
      <c r="DJ122" s="302"/>
      <c r="DK122" s="302"/>
      <c r="DL122" s="302"/>
      <c r="DM122" s="302"/>
      <c r="DN122" s="302"/>
      <c r="DO122" s="302"/>
      <c r="DP122" s="303"/>
    </row>
    <row r="123" spans="1:130" s="71" customFormat="1">
      <c r="B123" s="132"/>
      <c r="C123" s="132"/>
      <c r="D123" s="132"/>
      <c r="E123" s="132"/>
      <c r="G123" s="198"/>
      <c r="DE123" s="291"/>
      <c r="DF123" s="291"/>
      <c r="DG123" s="291"/>
      <c r="DH123" s="291"/>
      <c r="DI123" s="291"/>
      <c r="DJ123" s="291"/>
      <c r="DK123" s="291"/>
      <c r="DL123" s="291"/>
      <c r="DM123" s="291"/>
      <c r="DN123" s="291"/>
      <c r="DO123" s="291"/>
      <c r="DP123" s="291"/>
      <c r="DW123" s="291"/>
      <c r="DX123" s="291"/>
      <c r="DY123" s="291"/>
      <c r="DZ123" s="291"/>
    </row>
  </sheetData>
  <sortState ref="M54:M57">
    <sortCondition ref="M53"/>
  </sortState>
  <mergeCells count="15">
    <mergeCell ref="F2:F13"/>
    <mergeCell ref="F34:F52"/>
    <mergeCell ref="F53:F71"/>
    <mergeCell ref="F72:F91"/>
    <mergeCell ref="A92:A117"/>
    <mergeCell ref="A2:A13"/>
    <mergeCell ref="A34:A52"/>
    <mergeCell ref="A53:A71"/>
    <mergeCell ref="A72:A91"/>
    <mergeCell ref="A14:A33"/>
    <mergeCell ref="A118:A121"/>
    <mergeCell ref="F118:F121"/>
    <mergeCell ref="G118:G121"/>
    <mergeCell ref="F92:F117"/>
    <mergeCell ref="F14:F33"/>
  </mergeCells>
  <conditionalFormatting sqref="DC34:DP52 CK48:CK52 CK34:CK42 DB47:DB52 DB34:DB45 DW2:DZ13 DW34:DZ117 AR42:AR52 H2:DP13 CL34:DA52 AR34:AR40 AS34:CJ52 H53:DP71 H34:AQ52 H74:I76 H72:AP73 AQ72:DP74 J75:DP76 H77:DP117 J74:AP74">
    <cfRule type="cellIs" dxfId="9" priority="75" operator="equal">
      <formula>" "</formula>
    </cfRule>
  </conditionalFormatting>
  <conditionalFormatting sqref="DW14:DZ33 H21:DP33 BK14:DP20 H14:BI20">
    <cfRule type="cellIs" dxfId="8" priority="74" operator="notEqual">
      <formula>" "</formula>
    </cfRule>
  </conditionalFormatting>
  <conditionalFormatting sqref="BJ16">
    <cfRule type="cellIs" dxfId="7" priority="67" operator="notEqual">
      <formula>" "</formula>
    </cfRule>
  </conditionalFormatting>
  <conditionalFormatting sqref="BJ17:BJ20">
    <cfRule type="cellIs" dxfId="6" priority="68" operator="notEqual">
      <formula>" "</formula>
    </cfRule>
  </conditionalFormatting>
  <conditionalFormatting sqref="BJ14:BJ15">
    <cfRule type="cellIs" dxfId="5" priority="69" operator="notEqual">
      <formula>" "</formula>
    </cfRule>
  </conditionalFormatting>
  <conditionalFormatting sqref="H118:DP121">
    <cfRule type="cellIs" dxfId="4" priority="1" operator="equal">
      <formula>""" """</formula>
    </cfRule>
  </conditionalFormatting>
  <dataValidations count="5">
    <dataValidation type="list" allowBlank="1" showInputMessage="1" showErrorMessage="1" sqref="H92:DP117">
      <formula1>ListeCarriere</formula1>
    </dataValidation>
    <dataValidation type="list" allowBlank="1" showInputMessage="1" showErrorMessage="1" sqref="DY55:DY71 DW53:DX71 DZ53:DZ71 H53:DP71">
      <formula1>ListeTalent</formula1>
    </dataValidation>
    <dataValidation type="list" allowBlank="1" showInputMessage="1" showErrorMessage="1" sqref="H72:I91 J77:J91 J72:J75 K72:N91 O78:O91 O72:O76 P72:AF91 AG77:AG91 AG72:AG75 AH72:AJ91 AK79:AK91 AK72:AK77 AL72:AO91 AP75:AP91 AP72:AP73 AQ72:DP91 L118 N118:O118 R118 T118:T119 U118:W118 DJ118:DL118 AB118:AE118 AF118:AG119 AJ118:AL118 AO118 AR118 AS118:AT120 AU118 BA118:BD118 BF118:BF120 BG118:BH118 BI118:BI119 BL118 BP118 BV118 BZ118 CB118:CB119 CC118 CG118:CG119 CI118:CI119 CJ118 CK118:CK119 CO118 CQ118 CT118:CV118 CY118:CY119 CZ118:DA118 DC118 DF118:DF119 Y118:Y121">
      <formula1>ListeEquipement</formula1>
    </dataValidation>
    <dataValidation type="list" allowBlank="1" showInputMessage="1" showErrorMessage="1" sqref="DW14:DZ33 Q14:Q18 BJ14:DP33 H14:P33 R14:BI19 Q20:BI33">
      <formula1>ListeCompetenceBase</formula1>
    </dataValidation>
    <dataValidation type="list" allowBlank="1" showInputMessage="1" showErrorMessage="1" sqref="DW34:DZ52 H34:DP52">
      <formula1>ListeCompetenceAvance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AJ228"/>
  <sheetViews>
    <sheetView zoomScaleNormal="100" workbookViewId="0">
      <pane ySplit="1" topLeftCell="A134" activePane="bottomLeft" state="frozen"/>
      <selection activeCell="B5" sqref="B5:H26"/>
      <selection pane="bottomLeft" activeCell="B5" sqref="B2:H28"/>
    </sheetView>
  </sheetViews>
  <sheetFormatPr baseColWidth="10" defaultColWidth="9.140625" defaultRowHeight="15"/>
  <cols>
    <col min="1" max="1" width="21" bestFit="1" customWidth="1"/>
    <col min="2" max="2" width="5.140625" customWidth="1"/>
    <col min="3" max="3" width="15" customWidth="1"/>
    <col min="6" max="8" width="12.85546875" bestFit="1" customWidth="1"/>
    <col min="9" max="9" width="13" customWidth="1"/>
    <col min="10" max="10" width="31.7109375" bestFit="1" customWidth="1"/>
    <col min="11" max="11" width="15.5703125" customWidth="1"/>
    <col min="12" max="12" width="9.140625" customWidth="1"/>
    <col min="13" max="13" width="14.140625" customWidth="1"/>
    <col min="22" max="22" width="12.7109375" customWidth="1"/>
    <col min="27" max="27" width="22" style="7" bestFit="1" customWidth="1"/>
    <col min="28" max="29" width="9.140625" style="7"/>
    <col min="30" max="30" width="9.140625" style="95"/>
    <col min="31" max="31" width="9.140625" style="7"/>
    <col min="32" max="32" width="12.140625" style="7" bestFit="1" customWidth="1"/>
    <col min="33" max="33" width="10.85546875" style="7" bestFit="1" customWidth="1"/>
    <col min="34" max="34" width="10.7109375" style="7" bestFit="1" customWidth="1"/>
    <col min="35" max="35" width="10.140625" style="7" bestFit="1" customWidth="1"/>
    <col min="36" max="36" width="11.28515625" customWidth="1"/>
    <col min="37" max="37" width="13.28515625" bestFit="1" customWidth="1"/>
  </cols>
  <sheetData>
    <row r="1" spans="1:36" ht="15.75" thickBot="1">
      <c r="E1" s="17" t="str">
        <f>IF('Fiche de Personnage'!F$2="Elfe","F",IF('Fiche de Personnage'!F$2="Nain","I",IF('Fiche de Personnage'!F$2="Humain","H","G")))</f>
        <v>H</v>
      </c>
      <c r="F1" s="18" t="s">
        <v>12</v>
      </c>
      <c r="G1" s="20" t="s">
        <v>1</v>
      </c>
      <c r="H1" s="20" t="s">
        <v>0</v>
      </c>
      <c r="I1" s="19" t="s">
        <v>11</v>
      </c>
      <c r="L1" s="74" t="s">
        <v>85</v>
      </c>
      <c r="M1" s="75" t="s">
        <v>3</v>
      </c>
      <c r="N1" s="75" t="s">
        <v>4</v>
      </c>
      <c r="O1" s="75" t="s">
        <v>5</v>
      </c>
      <c r="P1" s="75" t="s">
        <v>6</v>
      </c>
      <c r="Q1" s="75" t="s">
        <v>7</v>
      </c>
      <c r="R1" s="75" t="s">
        <v>8</v>
      </c>
      <c r="S1" s="75" t="s">
        <v>9</v>
      </c>
      <c r="T1" s="75" t="s">
        <v>10</v>
      </c>
      <c r="U1" s="75" t="s">
        <v>13</v>
      </c>
      <c r="V1" s="75" t="s">
        <v>14</v>
      </c>
      <c r="W1" s="75" t="s">
        <v>15</v>
      </c>
      <c r="X1" s="75" t="s">
        <v>16</v>
      </c>
      <c r="Y1" s="76" t="s">
        <v>83</v>
      </c>
      <c r="AB1" s="49" t="s">
        <v>7</v>
      </c>
      <c r="AC1" s="50" t="s">
        <v>3</v>
      </c>
      <c r="AD1" s="50" t="s">
        <v>4</v>
      </c>
      <c r="AE1" s="50" t="s">
        <v>6</v>
      </c>
      <c r="AF1" s="50" t="s">
        <v>5</v>
      </c>
      <c r="AG1" s="50" t="s">
        <v>9</v>
      </c>
      <c r="AH1" s="50" t="s">
        <v>8</v>
      </c>
      <c r="AI1" s="50" t="s">
        <v>10</v>
      </c>
      <c r="AJ1" s="135" t="s">
        <v>823</v>
      </c>
    </row>
    <row r="2" spans="1:36" ht="15.75" thickBot="1">
      <c r="A2" s="62" t="s">
        <v>99</v>
      </c>
      <c r="C2" s="63" t="s">
        <v>397</v>
      </c>
      <c r="E2" s="669" t="s">
        <v>206</v>
      </c>
      <c r="F2" s="24">
        <v>0</v>
      </c>
      <c r="G2" s="25">
        <v>1</v>
      </c>
      <c r="H2" s="25">
        <v>0</v>
      </c>
      <c r="I2" s="26">
        <v>0</v>
      </c>
      <c r="L2" s="74" t="str">
        <f>'Fiche de Personnage'!F2</f>
        <v>Humain</v>
      </c>
      <c r="M2" s="75">
        <f ca="1">INDIRECT(CONCATENATE("m",$L3))</f>
        <v>20</v>
      </c>
      <c r="N2" s="75">
        <f ca="1">INDIRECT(CONCATENATE("n",$L3))</f>
        <v>20</v>
      </c>
      <c r="O2" s="75">
        <f ca="1">INDIRECT(CONCATENATE("o",$L3))</f>
        <v>20</v>
      </c>
      <c r="P2" s="75">
        <f ca="1">INDIRECT(CONCATENATE("p",$L3))</f>
        <v>20</v>
      </c>
      <c r="Q2" s="75">
        <f ca="1">INDIRECT(CONCATENATE("q",$L3))</f>
        <v>20</v>
      </c>
      <c r="R2" s="75">
        <f ca="1">INDIRECT(CONCATENATE("r",$L3))</f>
        <v>20</v>
      </c>
      <c r="S2" s="75">
        <f ca="1">INDIRECT(CONCATENATE("s",$L3))</f>
        <v>20</v>
      </c>
      <c r="T2" s="75">
        <f ca="1">INDIRECT(CONCATENATE("t",$L3))</f>
        <v>20</v>
      </c>
      <c r="U2" s="75">
        <f ca="1">INDIRECT(CONCATENATE("u",$L3))</f>
        <v>1</v>
      </c>
      <c r="V2" s="75">
        <f ca="1">INDIRECT(CONCATENATE("v",$L3))</f>
        <v>10</v>
      </c>
      <c r="W2" s="75">
        <f ca="1">INDIRECT(CONCATENATE("w",$L3))</f>
        <v>4</v>
      </c>
      <c r="X2" s="75">
        <f ca="1">INDIRECT(CONCATENATE("x",$L3))</f>
        <v>0</v>
      </c>
      <c r="Y2" s="76">
        <f ca="1">INDIRECT(CONCATENATE("y",$L3))</f>
        <v>3</v>
      </c>
      <c r="AB2" s="7">
        <f ca="1">Ag</f>
        <v>43</v>
      </c>
      <c r="AC2" s="7">
        <f ca="1">CC</f>
        <v>39</v>
      </c>
      <c r="AD2" s="7">
        <f ca="1">CT</f>
        <v>38</v>
      </c>
      <c r="AE2" s="7">
        <f ca="1">E</f>
        <v>47</v>
      </c>
      <c r="AF2" s="7">
        <f ca="1">F</f>
        <v>35</v>
      </c>
      <c r="AG2" s="7">
        <f ca="1">FM</f>
        <v>42</v>
      </c>
      <c r="AH2" s="7">
        <f ca="1">Int</f>
        <v>40</v>
      </c>
      <c r="AI2" s="7">
        <f ca="1">Soc</f>
        <v>49</v>
      </c>
      <c r="AJ2" s="136">
        <f ca="1">ROUNDDOWN(VALUE(AF2*0.1),0)</f>
        <v>3</v>
      </c>
    </row>
    <row r="3" spans="1:36" ht="15.75" thickBot="1">
      <c r="A3" s="21" t="s">
        <v>186</v>
      </c>
      <c r="C3" s="17">
        <f>15+NbCarriere</f>
        <v>18</v>
      </c>
      <c r="E3" s="670"/>
      <c r="F3" s="27">
        <v>1</v>
      </c>
      <c r="G3" s="28">
        <v>2</v>
      </c>
      <c r="H3" s="28">
        <v>1</v>
      </c>
      <c r="I3" s="29">
        <v>0</v>
      </c>
      <c r="K3" s="5" t="s">
        <v>86</v>
      </c>
      <c r="L3">
        <f>MATCH(L2,L7:L10,0)+6</f>
        <v>7</v>
      </c>
      <c r="AB3" s="681" t="s">
        <v>824</v>
      </c>
      <c r="AC3" s="681"/>
      <c r="AD3" s="681"/>
      <c r="AE3" s="681"/>
      <c r="AF3" s="681"/>
      <c r="AG3" s="681"/>
      <c r="AH3" s="681"/>
      <c r="AI3" s="681"/>
    </row>
    <row r="4" spans="1:36" ht="15.75" thickBot="1">
      <c r="A4" s="22" t="s">
        <v>187</v>
      </c>
      <c r="C4" s="17">
        <f>3-COUNTIF('Fiche de Personnage'!B8:V9," ")-IF('Fiche de Personnage'!AH8="Oui",0,1)</f>
        <v>3</v>
      </c>
      <c r="E4" s="670"/>
      <c r="F4" s="27">
        <v>1</v>
      </c>
      <c r="G4" s="28">
        <v>3</v>
      </c>
      <c r="H4" s="28">
        <v>2</v>
      </c>
      <c r="I4" s="29">
        <v>1</v>
      </c>
      <c r="K4" s="5"/>
      <c r="L4" s="55"/>
      <c r="M4" s="55"/>
      <c r="N4" s="55"/>
      <c r="O4" s="55"/>
      <c r="P4" s="55"/>
    </row>
    <row r="5" spans="1:36" ht="15.75" thickBot="1">
      <c r="A5" s="22" t="s">
        <v>188</v>
      </c>
      <c r="E5" s="670"/>
      <c r="F5" s="27">
        <v>2</v>
      </c>
      <c r="G5" s="28">
        <v>4</v>
      </c>
      <c r="H5" s="28">
        <v>3</v>
      </c>
      <c r="I5" s="29">
        <v>1</v>
      </c>
      <c r="K5" s="5"/>
    </row>
    <row r="6" spans="1:36" ht="15.75" thickBot="1">
      <c r="A6" s="22" t="s">
        <v>189</v>
      </c>
      <c r="E6" s="670"/>
      <c r="F6" s="27">
        <v>2</v>
      </c>
      <c r="G6" s="28">
        <v>5</v>
      </c>
      <c r="H6" s="28">
        <v>4</v>
      </c>
      <c r="I6" s="29">
        <v>2</v>
      </c>
      <c r="K6" s="683" t="s">
        <v>528</v>
      </c>
      <c r="L6" s="42"/>
      <c r="M6" s="49" t="s">
        <v>3</v>
      </c>
      <c r="N6" s="50" t="s">
        <v>4</v>
      </c>
      <c r="O6" s="50" t="s">
        <v>5</v>
      </c>
      <c r="P6" s="50" t="s">
        <v>6</v>
      </c>
      <c r="Q6" s="50" t="s">
        <v>7</v>
      </c>
      <c r="R6" s="50" t="s">
        <v>8</v>
      </c>
      <c r="S6" s="50" t="s">
        <v>9</v>
      </c>
      <c r="T6" s="50" t="s">
        <v>10</v>
      </c>
      <c r="U6" s="50" t="s">
        <v>13</v>
      </c>
      <c r="V6" s="50" t="s">
        <v>14</v>
      </c>
      <c r="W6" s="50" t="s">
        <v>15</v>
      </c>
      <c r="X6" s="50" t="s">
        <v>16</v>
      </c>
      <c r="Y6" s="51" t="s">
        <v>83</v>
      </c>
    </row>
    <row r="7" spans="1:36" ht="15.75" thickBot="1">
      <c r="A7" s="22" t="s">
        <v>190</v>
      </c>
      <c r="E7" s="671"/>
      <c r="F7" s="43">
        <v>3</v>
      </c>
      <c r="G7" s="44">
        <v>6</v>
      </c>
      <c r="H7" s="44">
        <v>5</v>
      </c>
      <c r="I7" s="45">
        <v>3</v>
      </c>
      <c r="K7" s="684"/>
      <c r="L7" s="59" t="s">
        <v>0</v>
      </c>
      <c r="M7" s="65">
        <v>20</v>
      </c>
      <c r="N7" s="66">
        <v>20</v>
      </c>
      <c r="O7" s="66">
        <v>20</v>
      </c>
      <c r="P7" s="66">
        <v>20</v>
      </c>
      <c r="Q7" s="66">
        <v>20</v>
      </c>
      <c r="R7" s="66">
        <v>20</v>
      </c>
      <c r="S7" s="66">
        <v>20</v>
      </c>
      <c r="T7" s="66">
        <v>20</v>
      </c>
      <c r="U7" s="66">
        <v>1</v>
      </c>
      <c r="V7" s="66">
        <f ca="1">RANDBETWEEN(10,15)</f>
        <v>10</v>
      </c>
      <c r="W7" s="66">
        <v>4</v>
      </c>
      <c r="X7" s="66">
        <v>0</v>
      </c>
      <c r="Y7" s="69">
        <f ca="1">RANDBETWEEN(1,3)</f>
        <v>3</v>
      </c>
    </row>
    <row r="8" spans="1:36" ht="15.75" thickBot="1">
      <c r="A8" s="22" t="s">
        <v>191</v>
      </c>
      <c r="F8" s="49">
        <f ca="1">INDEX(F2:F7,RANDBETWEEN(1,6),1)</f>
        <v>2</v>
      </c>
      <c r="G8" s="50">
        <f ca="1">INDEX(G2:G7,RANDBETWEEN(1,6),1)</f>
        <v>4</v>
      </c>
      <c r="H8" s="50">
        <f ca="1">INDEX(H2:H7,RANDBETWEEN(1,6),1)</f>
        <v>5</v>
      </c>
      <c r="I8" s="51">
        <f ca="1">INDEX(I2:I7,RANDBETWEEN(1,6),1)</f>
        <v>2</v>
      </c>
      <c r="K8" s="684"/>
      <c r="L8" s="57" t="s">
        <v>11</v>
      </c>
      <c r="M8" s="27">
        <v>30</v>
      </c>
      <c r="N8" s="56">
        <v>20</v>
      </c>
      <c r="O8" s="56">
        <v>20</v>
      </c>
      <c r="P8" s="56">
        <v>30</v>
      </c>
      <c r="Q8" s="56">
        <v>10</v>
      </c>
      <c r="R8" s="56">
        <v>20</v>
      </c>
      <c r="S8" s="56">
        <v>20</v>
      </c>
      <c r="T8" s="56">
        <v>10</v>
      </c>
      <c r="U8" s="56">
        <v>1</v>
      </c>
      <c r="V8" s="56">
        <f ca="1">RANDBETWEEN(11,16)</f>
        <v>11</v>
      </c>
      <c r="W8" s="56">
        <v>3</v>
      </c>
      <c r="X8" s="56">
        <v>0</v>
      </c>
      <c r="Y8" s="29">
        <f ca="1">RANDBETWEEN(0,3)</f>
        <v>1</v>
      </c>
    </row>
    <row r="9" spans="1:36">
      <c r="A9" s="22" t="s">
        <v>192</v>
      </c>
      <c r="E9" s="666" t="s">
        <v>207</v>
      </c>
      <c r="F9" s="46">
        <v>36</v>
      </c>
      <c r="G9" s="47">
        <v>34</v>
      </c>
      <c r="H9" s="47">
        <v>47</v>
      </c>
      <c r="I9" s="48">
        <v>40</v>
      </c>
      <c r="K9" s="684"/>
      <c r="L9" s="57" t="s">
        <v>12</v>
      </c>
      <c r="M9" s="27">
        <v>20</v>
      </c>
      <c r="N9" s="56">
        <v>30</v>
      </c>
      <c r="O9" s="56">
        <v>20</v>
      </c>
      <c r="P9" s="56">
        <v>20</v>
      </c>
      <c r="Q9" s="56">
        <v>30</v>
      </c>
      <c r="R9" s="56">
        <v>20</v>
      </c>
      <c r="S9" s="56">
        <v>20</v>
      </c>
      <c r="T9" s="56">
        <v>30</v>
      </c>
      <c r="U9" s="56">
        <v>1</v>
      </c>
      <c r="V9" s="56">
        <f ca="1">RANDBETWEEN(10,15)</f>
        <v>10</v>
      </c>
      <c r="W9" s="56">
        <v>5</v>
      </c>
      <c r="X9" s="56">
        <v>0</v>
      </c>
      <c r="Y9" s="29">
        <f ca="1">RANDBETWEEN(0,2)</f>
        <v>2</v>
      </c>
    </row>
    <row r="10" spans="1:36" ht="15.75" thickBot="1">
      <c r="A10" s="22" t="s">
        <v>193</v>
      </c>
      <c r="E10" s="667"/>
      <c r="F10" s="27">
        <v>38</v>
      </c>
      <c r="G10" s="28">
        <v>34</v>
      </c>
      <c r="H10" s="28">
        <v>49</v>
      </c>
      <c r="I10" s="29">
        <v>43</v>
      </c>
      <c r="K10" s="685"/>
      <c r="L10" s="58" t="s">
        <v>1</v>
      </c>
      <c r="M10" s="67">
        <v>10</v>
      </c>
      <c r="N10" s="68">
        <v>30</v>
      </c>
      <c r="O10" s="68">
        <v>10</v>
      </c>
      <c r="P10" s="68">
        <v>10</v>
      </c>
      <c r="Q10" s="68">
        <v>30</v>
      </c>
      <c r="R10" s="68">
        <v>20</v>
      </c>
      <c r="S10" s="68">
        <v>20</v>
      </c>
      <c r="T10" s="68">
        <v>30</v>
      </c>
      <c r="U10" s="68">
        <v>1</v>
      </c>
      <c r="V10" s="68">
        <f ca="1">RANDBETWEEN(8,14)</f>
        <v>14</v>
      </c>
      <c r="W10" s="68">
        <v>4</v>
      </c>
      <c r="X10" s="68">
        <v>0</v>
      </c>
      <c r="Y10" s="70">
        <f ca="1">RANDBETWEEN(2,3)</f>
        <v>3</v>
      </c>
    </row>
    <row r="11" spans="1:36" ht="15.75">
      <c r="A11" s="22" t="s">
        <v>194</v>
      </c>
      <c r="E11" s="667"/>
      <c r="F11" s="27">
        <v>4</v>
      </c>
      <c r="G11" s="28">
        <v>36</v>
      </c>
      <c r="H11" s="28">
        <v>52</v>
      </c>
      <c r="I11" s="29">
        <v>45</v>
      </c>
      <c r="K11" s="60"/>
    </row>
    <row r="12" spans="1:36" ht="15.75" thickBot="1">
      <c r="A12" s="22" t="s">
        <v>195</v>
      </c>
      <c r="E12" s="667"/>
      <c r="F12" s="27">
        <v>43</v>
      </c>
      <c r="G12" s="28">
        <v>36</v>
      </c>
      <c r="H12" s="28">
        <v>54</v>
      </c>
      <c r="I12" s="29">
        <v>47</v>
      </c>
    </row>
    <row r="13" spans="1:36">
      <c r="A13" s="22" t="s">
        <v>196</v>
      </c>
      <c r="E13" s="667"/>
      <c r="F13" s="27">
        <v>45</v>
      </c>
      <c r="G13" s="28">
        <v>38</v>
      </c>
      <c r="H13" s="28">
        <v>56</v>
      </c>
      <c r="I13" s="29">
        <v>49</v>
      </c>
      <c r="K13" s="6"/>
      <c r="L13" s="675" t="s">
        <v>847</v>
      </c>
      <c r="M13" s="676"/>
      <c r="N13" s="676"/>
      <c r="O13" s="676"/>
      <c r="P13" s="677"/>
      <c r="Q13" s="122"/>
    </row>
    <row r="14" spans="1:36" ht="15.75" thickBot="1">
      <c r="A14" s="22" t="s">
        <v>197</v>
      </c>
      <c r="E14" s="667"/>
      <c r="F14" s="27">
        <v>47</v>
      </c>
      <c r="G14" s="28">
        <v>38</v>
      </c>
      <c r="H14" s="28">
        <v>59</v>
      </c>
      <c r="I14" s="29">
        <v>52</v>
      </c>
      <c r="K14" s="686"/>
      <c r="L14" s="678"/>
      <c r="M14" s="679"/>
      <c r="N14" s="679"/>
      <c r="O14" s="679"/>
      <c r="P14" s="680"/>
      <c r="Q14" s="233"/>
      <c r="R14" s="682"/>
      <c r="S14" s="682"/>
      <c r="T14" s="682"/>
      <c r="U14" s="682"/>
      <c r="V14" s="94"/>
      <c r="W14" s="94"/>
      <c r="X14" s="94"/>
      <c r="Y14" s="94"/>
      <c r="Z14" s="94"/>
    </row>
    <row r="15" spans="1:36" ht="15.75" thickBot="1">
      <c r="A15" s="22" t="s">
        <v>198</v>
      </c>
      <c r="E15" s="667"/>
      <c r="F15" s="27">
        <v>49</v>
      </c>
      <c r="G15" s="28">
        <v>40</v>
      </c>
      <c r="H15" s="28">
        <v>61</v>
      </c>
      <c r="I15" s="29">
        <v>54</v>
      </c>
      <c r="K15" s="686"/>
      <c r="L15" s="242"/>
      <c r="M15" s="244" t="s">
        <v>841</v>
      </c>
      <c r="N15" s="245" t="s">
        <v>842</v>
      </c>
      <c r="O15" s="246" t="s">
        <v>843</v>
      </c>
      <c r="P15" s="290" t="s">
        <v>844</v>
      </c>
      <c r="Q15" s="93"/>
      <c r="R15" s="93"/>
      <c r="S15" s="93"/>
      <c r="T15" s="93"/>
      <c r="U15" s="93"/>
      <c r="V15" s="71"/>
      <c r="W15" s="71"/>
      <c r="X15" s="71"/>
      <c r="Y15" s="71"/>
      <c r="Z15" s="71"/>
    </row>
    <row r="16" spans="1:36">
      <c r="A16" s="22" t="s">
        <v>199</v>
      </c>
      <c r="E16" s="667"/>
      <c r="F16" s="27">
        <v>52</v>
      </c>
      <c r="G16" s="28">
        <v>40</v>
      </c>
      <c r="H16" s="28">
        <v>63</v>
      </c>
      <c r="I16" s="29">
        <v>56</v>
      </c>
      <c r="K16" s="686"/>
      <c r="L16" s="12" t="s">
        <v>647</v>
      </c>
      <c r="M16" s="137">
        <f ca="1">COUNTIF(EquipementFinal,"*Armure complète de cuir*")+COUNTIF(EquipementFinal,"*Calotte de cuir*")</f>
        <v>0</v>
      </c>
      <c r="N16" s="137">
        <f ca="1">(COUNTIF(EquipementFinal,"*Armure complète de mailles*")+COUNTIF(EquipementFinal,"*Cagoule*"))*3</f>
        <v>0</v>
      </c>
      <c r="O16" s="288">
        <f ca="1">(COUNTIF(EquipementFinal,"*Armure de plaques*")+COUNTIF(EquipementFinal,"*Casque*"))*5</f>
        <v>0</v>
      </c>
      <c r="P16" s="21">
        <f ca="1">MAX(M16:O16)</f>
        <v>0</v>
      </c>
      <c r="Q16" s="93"/>
      <c r="R16" s="93"/>
      <c r="S16" s="93"/>
      <c r="T16" s="93"/>
      <c r="U16" s="93"/>
      <c r="V16" s="71"/>
      <c r="W16" s="71"/>
      <c r="X16" s="71"/>
      <c r="Y16" s="71"/>
      <c r="Z16" s="71"/>
    </row>
    <row r="17" spans="1:26">
      <c r="A17" s="22" t="s">
        <v>200</v>
      </c>
      <c r="E17" s="667"/>
      <c r="F17" s="27">
        <v>54</v>
      </c>
      <c r="G17" s="28">
        <v>43</v>
      </c>
      <c r="H17" s="28">
        <v>65</v>
      </c>
      <c r="I17" s="29">
        <v>59</v>
      </c>
      <c r="K17" s="686"/>
      <c r="L17" s="12" t="s">
        <v>845</v>
      </c>
      <c r="M17" s="137">
        <f ca="1">COUNTIF(EquipementFinal,"*Armure complète de cuir*")+COUNTIF(EquipementFinal,"*Veste de cuir*")</f>
        <v>0</v>
      </c>
      <c r="N17" s="137">
        <f ca="1">(COUNTIF(EquipementFinal,"*Armure complète de mailles*")+COUNTIF(EquipementFinal,"*Chemise de mailles*")+COUNTIF(EquipementFinal,"*Manteau de mailles à manches*"))*3</f>
        <v>0</v>
      </c>
      <c r="O17" s="288">
        <f ca="1">(COUNTIF(EquipementFinal,"*Armure de plaques*")+COUNTIF(EquipementFinal,"*Brassard d'acier*"))*5</f>
        <v>0</v>
      </c>
      <c r="P17" s="22">
        <f ca="1">MAX(M17:O17)</f>
        <v>0</v>
      </c>
      <c r="Q17" s="93"/>
      <c r="R17" s="93"/>
      <c r="S17" s="93"/>
      <c r="T17" s="93"/>
      <c r="U17" s="93"/>
      <c r="V17" s="71"/>
      <c r="W17" s="71"/>
      <c r="X17" s="71"/>
      <c r="Y17" s="71"/>
      <c r="Z17" s="71"/>
    </row>
    <row r="18" spans="1:26">
      <c r="A18" s="22" t="s">
        <v>201</v>
      </c>
      <c r="E18" s="667"/>
      <c r="F18" s="27">
        <v>56</v>
      </c>
      <c r="G18" s="28">
        <v>45</v>
      </c>
      <c r="H18" s="28">
        <v>68</v>
      </c>
      <c r="I18" s="29">
        <v>61</v>
      </c>
      <c r="K18" s="686"/>
      <c r="L18" s="12" t="s">
        <v>648</v>
      </c>
      <c r="M18" s="137">
        <f ca="1">COUNTIF(EquipementFinal,"*Armure complète de cuir*")+COUNTIF(EquipementFinal,"*Veste de cuir*")+COUNTIF(EquipementFinal,"*Gilet de cuir*")</f>
        <v>1</v>
      </c>
      <c r="N18" s="137">
        <f ca="1">(COUNTIF(EquipementFinal,"*Armure complète de mailles*")+COUNTIF(EquipementFinal,"*Gilet de mailles*")+COUNTIF(EquipementFinal,"*Manteau de mailles*")+COUNTIF(EquipementFinal,"*Chemise de mailles*"))*3</f>
        <v>0</v>
      </c>
      <c r="O18" s="288">
        <f ca="1">(COUNTIF(EquipementFinal,"*Armure de plaques*")+COUNTIF(EquipementFinal,"*Plastron*"))*5</f>
        <v>0</v>
      </c>
      <c r="P18" s="22">
        <f ca="1">MAX(M18:O18)</f>
        <v>1</v>
      </c>
      <c r="Q18" s="93"/>
      <c r="R18" s="93"/>
      <c r="S18" s="93"/>
      <c r="T18" s="93"/>
      <c r="U18" s="93"/>
      <c r="V18" s="71"/>
      <c r="W18" s="71"/>
      <c r="X18" s="71"/>
      <c r="Y18" s="71"/>
      <c r="Z18" s="71"/>
    </row>
    <row r="19" spans="1:26" ht="15.75" thickBot="1">
      <c r="A19" s="22" t="s">
        <v>202</v>
      </c>
      <c r="E19" s="667"/>
      <c r="F19" s="27">
        <v>59</v>
      </c>
      <c r="G19" s="28">
        <v>45</v>
      </c>
      <c r="H19" s="28">
        <v>70</v>
      </c>
      <c r="I19" s="29">
        <v>63</v>
      </c>
      <c r="K19" s="686"/>
      <c r="L19" s="14" t="s">
        <v>846</v>
      </c>
      <c r="M19" s="15">
        <f ca="1">COUNTIF(EquipementFinal,"*Armure complète de cuir*")+COUNTIF(EquipementFinal,"*Jambières de cuir*")</f>
        <v>0</v>
      </c>
      <c r="N19" s="15">
        <f ca="1">(COUNTIF(EquipementFinal,"*Armure complète de mailles*")+COUNTIF(EquipementFinal,"*Jambières de mailles*")+COUNTIF(EquipementFinal,"*Manteau de mailles*"))*3</f>
        <v>0</v>
      </c>
      <c r="O19" s="289">
        <f ca="1">(COUNTIF(EquipementFinal,"*Armure de plaques*")+COUNTIF(EquipementFinal,"*Jambières de d'acier*"))*5</f>
        <v>0</v>
      </c>
      <c r="P19" s="23">
        <f ca="1">MAX(M19:O19)</f>
        <v>0</v>
      </c>
      <c r="Q19" s="93"/>
      <c r="R19" s="93"/>
      <c r="S19" s="93"/>
      <c r="T19" s="93"/>
      <c r="U19" s="93"/>
      <c r="V19" s="71"/>
      <c r="W19" s="71"/>
      <c r="X19" s="71"/>
      <c r="Y19" s="71"/>
      <c r="Z19" s="71"/>
    </row>
    <row r="20" spans="1:26">
      <c r="A20" s="22" t="s">
        <v>203</v>
      </c>
      <c r="E20" s="667"/>
      <c r="F20" s="27">
        <v>61</v>
      </c>
      <c r="G20" s="28">
        <v>47</v>
      </c>
      <c r="H20" s="28">
        <v>72</v>
      </c>
      <c r="I20" s="29">
        <v>65</v>
      </c>
      <c r="K20" s="686"/>
      <c r="L20" s="93"/>
      <c r="M20" s="93"/>
      <c r="N20" s="93"/>
      <c r="O20" s="93"/>
      <c r="P20" s="93"/>
      <c r="Q20" s="93"/>
      <c r="R20" s="93"/>
      <c r="S20" s="93"/>
      <c r="T20" s="93"/>
      <c r="U20" s="93"/>
      <c r="V20" s="71"/>
      <c r="W20" s="71"/>
      <c r="X20" s="71"/>
      <c r="Y20" s="71"/>
      <c r="Z20" s="71"/>
    </row>
    <row r="21" spans="1:26">
      <c r="A21" s="22" t="s">
        <v>204</v>
      </c>
      <c r="E21" s="667"/>
      <c r="F21" s="27">
        <v>63</v>
      </c>
      <c r="G21" s="28">
        <v>49</v>
      </c>
      <c r="H21" s="28">
        <v>74</v>
      </c>
      <c r="I21" s="29">
        <v>68</v>
      </c>
      <c r="K21" s="686"/>
      <c r="L21" s="93"/>
      <c r="M21" s="93"/>
      <c r="N21" s="93"/>
      <c r="O21" s="93"/>
      <c r="P21" s="93"/>
      <c r="Q21" s="93"/>
      <c r="R21" s="93"/>
      <c r="S21" s="93"/>
      <c r="T21" s="93"/>
      <c r="U21" s="93"/>
      <c r="V21" s="71"/>
      <c r="W21" s="71"/>
      <c r="X21" s="71"/>
      <c r="Y21" s="71"/>
      <c r="Z21" s="71"/>
    </row>
    <row r="22" spans="1:26" ht="15.75" thickBot="1">
      <c r="A22" s="23" t="s">
        <v>205</v>
      </c>
      <c r="E22" s="667"/>
      <c r="F22" s="27">
        <v>65</v>
      </c>
      <c r="G22" s="28">
        <v>52</v>
      </c>
      <c r="H22" s="28">
        <v>77</v>
      </c>
      <c r="I22" s="29">
        <v>70</v>
      </c>
      <c r="K22" s="686"/>
      <c r="L22" s="93"/>
      <c r="M22" s="93"/>
      <c r="N22" s="93"/>
      <c r="O22" s="93"/>
      <c r="P22" s="93"/>
      <c r="Q22" s="93"/>
      <c r="R22" s="93"/>
      <c r="S22" s="93"/>
      <c r="T22" s="93"/>
      <c r="U22" s="93"/>
      <c r="V22" s="71"/>
      <c r="W22" s="71"/>
      <c r="X22" s="71"/>
      <c r="Y22" s="71"/>
      <c r="Z22" s="71"/>
    </row>
    <row r="23" spans="1:26" ht="15.75" thickBot="1">
      <c r="A23" s="3" t="str">
        <f ca="1">INDIRECT("a"&amp;RANDBETWEEN(3,22))</f>
        <v>L'Etoile du Sorcier</v>
      </c>
      <c r="E23" s="667"/>
      <c r="F23" s="27">
        <v>68</v>
      </c>
      <c r="G23" s="28">
        <v>54</v>
      </c>
      <c r="H23" s="28">
        <v>79</v>
      </c>
      <c r="I23" s="29">
        <v>72</v>
      </c>
      <c r="K23" s="686"/>
      <c r="L23" s="93"/>
      <c r="M23" s="93"/>
      <c r="N23" s="93"/>
      <c r="O23" s="93"/>
      <c r="P23" s="93"/>
      <c r="Q23" s="93"/>
      <c r="R23" s="93"/>
      <c r="S23" s="93"/>
      <c r="T23" s="93"/>
      <c r="U23" s="93"/>
      <c r="V23" s="71"/>
      <c r="W23" s="71"/>
      <c r="X23" s="71"/>
      <c r="Y23" s="71"/>
      <c r="Z23" s="71"/>
    </row>
    <row r="24" spans="1:26">
      <c r="E24" s="667"/>
      <c r="F24" s="27">
        <v>70</v>
      </c>
      <c r="G24" s="28">
        <v>56</v>
      </c>
      <c r="H24" s="28">
        <v>81</v>
      </c>
      <c r="I24" s="29">
        <v>74</v>
      </c>
      <c r="K24" s="686"/>
      <c r="L24" s="93"/>
      <c r="M24" s="93"/>
      <c r="N24" s="93"/>
      <c r="O24" s="93"/>
      <c r="P24" s="93"/>
      <c r="Q24" s="93"/>
      <c r="R24" s="93"/>
      <c r="S24" s="93"/>
      <c r="T24" s="93"/>
      <c r="U24" s="93"/>
      <c r="V24" s="71"/>
      <c r="W24" s="71"/>
      <c r="X24" s="71"/>
      <c r="Y24" s="71"/>
      <c r="Z24" s="71"/>
    </row>
    <row r="25" spans="1:26">
      <c r="E25" s="667"/>
      <c r="F25" s="27">
        <v>72</v>
      </c>
      <c r="G25" s="28">
        <v>59</v>
      </c>
      <c r="H25" s="28">
        <v>86</v>
      </c>
      <c r="I25" s="29">
        <v>77</v>
      </c>
      <c r="K25" s="686"/>
      <c r="L25" s="93"/>
      <c r="M25" s="93"/>
      <c r="N25" s="93"/>
      <c r="O25" s="93"/>
      <c r="P25" s="93"/>
      <c r="Q25" s="93"/>
      <c r="R25" s="93"/>
      <c r="S25" s="93"/>
      <c r="T25" s="93"/>
      <c r="U25" s="93"/>
      <c r="V25" s="71"/>
      <c r="W25" s="71"/>
      <c r="X25" s="71"/>
      <c r="Y25" s="71"/>
      <c r="Z25" s="71"/>
    </row>
    <row r="26" spans="1:26">
      <c r="E26" s="667"/>
      <c r="F26" s="27">
        <v>74</v>
      </c>
      <c r="G26" s="28">
        <v>61</v>
      </c>
      <c r="H26" s="28">
        <v>90</v>
      </c>
      <c r="I26" s="29">
        <v>79</v>
      </c>
      <c r="K26" s="686"/>
      <c r="L26" s="93"/>
      <c r="M26" s="93"/>
      <c r="N26" s="93"/>
      <c r="O26" s="93"/>
      <c r="P26" s="93"/>
      <c r="Q26" s="93"/>
      <c r="R26" s="93"/>
      <c r="S26" s="93"/>
      <c r="T26" s="93"/>
      <c r="U26" s="93"/>
      <c r="V26" s="71"/>
      <c r="W26" s="71"/>
      <c r="X26" s="71"/>
      <c r="Y26" s="71"/>
      <c r="Z26" s="71"/>
    </row>
    <row r="27" spans="1:26">
      <c r="E27" s="667"/>
      <c r="F27" s="27">
        <v>77</v>
      </c>
      <c r="G27" s="28">
        <v>63</v>
      </c>
      <c r="H27" s="28">
        <v>95</v>
      </c>
      <c r="I27" s="29">
        <v>81</v>
      </c>
      <c r="K27" s="686"/>
      <c r="L27" s="93"/>
      <c r="R27" s="93"/>
      <c r="S27" s="93"/>
      <c r="T27" s="93"/>
      <c r="U27" s="93"/>
      <c r="V27" s="71"/>
      <c r="W27" s="71"/>
      <c r="X27" s="71"/>
      <c r="Y27" s="71"/>
      <c r="Z27" s="71"/>
    </row>
    <row r="28" spans="1:26" ht="15.75" thickBot="1">
      <c r="E28" s="668"/>
      <c r="F28" s="43">
        <v>79</v>
      </c>
      <c r="G28" s="44">
        <v>65</v>
      </c>
      <c r="H28" s="44">
        <v>99</v>
      </c>
      <c r="I28" s="45">
        <v>83</v>
      </c>
      <c r="K28" s="686"/>
      <c r="L28" s="93"/>
      <c r="R28" s="93"/>
      <c r="S28" s="93"/>
      <c r="T28" s="93"/>
      <c r="U28" s="93"/>
      <c r="V28" s="71"/>
      <c r="W28" s="71"/>
      <c r="X28" s="71"/>
      <c r="Y28" s="71"/>
      <c r="Z28" s="71"/>
    </row>
    <row r="29" spans="1:26" ht="15.75" thickBot="1">
      <c r="F29" s="49">
        <f ca="1">INDEX(F9:F28,RANDBETWEEN(1,20),1)</f>
        <v>74</v>
      </c>
      <c r="G29" s="50">
        <f ca="1">INDEX(G9:G28,RANDBETWEEN(1,20),1)</f>
        <v>65</v>
      </c>
      <c r="H29" s="50">
        <f ca="1">INDEX(H9:H28,RANDBETWEEN(1,20),1)</f>
        <v>54</v>
      </c>
      <c r="I29" s="51">
        <f ca="1">INDEX(I9:I28,RANDBETWEEN(1,20),1)</f>
        <v>47</v>
      </c>
      <c r="K29" s="686"/>
      <c r="L29" s="93"/>
      <c r="R29" s="93"/>
      <c r="S29" s="93"/>
      <c r="T29" s="93"/>
      <c r="U29" s="93"/>
      <c r="V29" s="71"/>
      <c r="W29" s="71"/>
      <c r="X29" s="71"/>
      <c r="Y29" s="71"/>
      <c r="Z29" s="71"/>
    </row>
    <row r="30" spans="1:26">
      <c r="E30" s="666" t="s">
        <v>219</v>
      </c>
      <c r="F30" s="46" t="s">
        <v>208</v>
      </c>
      <c r="G30" s="47" t="s">
        <v>209</v>
      </c>
      <c r="H30" s="47" t="s">
        <v>209</v>
      </c>
      <c r="I30" s="48" t="s">
        <v>209</v>
      </c>
      <c r="K30" s="686"/>
      <c r="L30" s="93"/>
      <c r="R30" s="93"/>
      <c r="S30" s="93"/>
      <c r="T30" s="93"/>
      <c r="U30" s="93"/>
      <c r="V30" s="71"/>
      <c r="W30" s="71"/>
      <c r="X30" s="71"/>
      <c r="Y30" s="71"/>
      <c r="Z30" s="71"/>
    </row>
    <row r="31" spans="1:26">
      <c r="E31" s="667"/>
      <c r="F31" s="27" t="s">
        <v>209</v>
      </c>
      <c r="G31" s="28" t="s">
        <v>210</v>
      </c>
      <c r="H31" s="28" t="s">
        <v>210</v>
      </c>
      <c r="I31" s="29" t="s">
        <v>211</v>
      </c>
      <c r="K31" s="686"/>
      <c r="L31" s="93"/>
      <c r="R31" s="93"/>
      <c r="S31" s="93"/>
      <c r="T31" s="93"/>
      <c r="U31" s="93"/>
      <c r="V31" s="71"/>
      <c r="W31" s="71"/>
      <c r="X31" s="71"/>
      <c r="Y31" s="71"/>
      <c r="Z31" s="71"/>
    </row>
    <row r="32" spans="1:26">
      <c r="E32" s="667"/>
      <c r="F32" s="27" t="s">
        <v>210</v>
      </c>
      <c r="G32" s="28" t="s">
        <v>211</v>
      </c>
      <c r="H32" s="28" t="s">
        <v>211</v>
      </c>
      <c r="I32" s="29" t="s">
        <v>217</v>
      </c>
      <c r="K32" s="686"/>
      <c r="L32" s="93"/>
      <c r="R32" s="93"/>
      <c r="S32" s="93"/>
      <c r="T32" s="93"/>
      <c r="U32" s="93"/>
      <c r="V32" s="71"/>
      <c r="W32" s="71"/>
      <c r="X32" s="71"/>
      <c r="Y32" s="71"/>
      <c r="Z32" s="71"/>
    </row>
    <row r="33" spans="5:26">
      <c r="E33" s="667"/>
      <c r="F33" s="27" t="s">
        <v>211</v>
      </c>
      <c r="G33" s="28" t="s">
        <v>211</v>
      </c>
      <c r="H33" s="28" t="s">
        <v>212</v>
      </c>
      <c r="I33" s="29" t="s">
        <v>212</v>
      </c>
      <c r="K33" s="686"/>
      <c r="L33" s="93"/>
      <c r="R33" s="93"/>
      <c r="S33" s="93"/>
      <c r="T33" s="93"/>
      <c r="U33" s="93"/>
      <c r="V33" s="71"/>
      <c r="W33" s="71"/>
      <c r="X33" s="71"/>
      <c r="Y33" s="71"/>
      <c r="Z33" s="71"/>
    </row>
    <row r="34" spans="5:26">
      <c r="E34" s="667"/>
      <c r="F34" s="27" t="s">
        <v>212</v>
      </c>
      <c r="G34" s="28" t="s">
        <v>212</v>
      </c>
      <c r="H34" s="28" t="s">
        <v>217</v>
      </c>
      <c r="I34" s="29" t="s">
        <v>213</v>
      </c>
    </row>
    <row r="35" spans="5:26">
      <c r="E35" s="667"/>
      <c r="F35" s="27" t="s">
        <v>213</v>
      </c>
      <c r="G35" s="28" t="s">
        <v>217</v>
      </c>
      <c r="H35" s="28" t="s">
        <v>213</v>
      </c>
      <c r="I35" s="29" t="s">
        <v>214</v>
      </c>
    </row>
    <row r="36" spans="5:26">
      <c r="E36" s="667"/>
      <c r="F36" s="27" t="s">
        <v>213</v>
      </c>
      <c r="G36" s="28" t="s">
        <v>213</v>
      </c>
      <c r="H36" s="28" t="s">
        <v>214</v>
      </c>
      <c r="I36" s="29" t="s">
        <v>214</v>
      </c>
    </row>
    <row r="37" spans="5:26">
      <c r="E37" s="667"/>
      <c r="F37" s="27" t="s">
        <v>214</v>
      </c>
      <c r="G37" s="28" t="s">
        <v>214</v>
      </c>
      <c r="H37" s="28" t="s">
        <v>214</v>
      </c>
      <c r="I37" s="29" t="s">
        <v>215</v>
      </c>
    </row>
    <row r="38" spans="5:26">
      <c r="E38" s="667"/>
      <c r="F38" s="27" t="s">
        <v>215</v>
      </c>
      <c r="G38" s="28" t="s">
        <v>215</v>
      </c>
      <c r="H38" s="28" t="s">
        <v>215</v>
      </c>
      <c r="I38" s="29" t="s">
        <v>218</v>
      </c>
    </row>
    <row r="39" spans="5:26" ht="15.75" thickBot="1">
      <c r="E39" s="668"/>
      <c r="F39" s="43" t="s">
        <v>216</v>
      </c>
      <c r="G39" s="44" t="s">
        <v>216</v>
      </c>
      <c r="H39" s="44" t="s">
        <v>216</v>
      </c>
      <c r="I39" s="45" t="s">
        <v>216</v>
      </c>
    </row>
    <row r="40" spans="5:26" ht="15.75" thickBot="1">
      <c r="F40" s="49" t="str">
        <f ca="1">INDEX(F30:F39,RANDBETWEEN(1,10),1)</f>
        <v>Noir</v>
      </c>
      <c r="G40" s="50" t="str">
        <f ca="1">INDEX(G30:G39,RANDBETWEEN(1,10),1)</f>
        <v>Châtain</v>
      </c>
      <c r="H40" s="50" t="str">
        <f ca="1">INDEX(H30:H39,RANDBETWEEN(1,10),1)</f>
        <v>Blond cendré</v>
      </c>
      <c r="I40" s="51" t="str">
        <f ca="1">INDEX(I30:I39,RANDBETWEEN(1,10),1)</f>
        <v>Brun</v>
      </c>
    </row>
    <row r="41" spans="5:26">
      <c r="E41" s="666" t="s">
        <v>231</v>
      </c>
      <c r="F41" s="46" t="s">
        <v>220</v>
      </c>
      <c r="G41" s="47" t="s">
        <v>221</v>
      </c>
      <c r="H41" s="47" t="s">
        <v>230</v>
      </c>
      <c r="I41" s="48" t="s">
        <v>230</v>
      </c>
    </row>
    <row r="42" spans="5:26">
      <c r="E42" s="667"/>
      <c r="F42" s="27" t="s">
        <v>221</v>
      </c>
      <c r="G42" s="28" t="s">
        <v>229</v>
      </c>
      <c r="H42" s="28" t="s">
        <v>220</v>
      </c>
      <c r="I42" s="29" t="s">
        <v>221</v>
      </c>
    </row>
    <row r="43" spans="5:26">
      <c r="E43" s="667"/>
      <c r="F43" s="27" t="s">
        <v>222</v>
      </c>
      <c r="G43" s="28" t="s">
        <v>229</v>
      </c>
      <c r="H43" s="28" t="s">
        <v>221</v>
      </c>
      <c r="I43" s="29" t="s">
        <v>223</v>
      </c>
    </row>
    <row r="44" spans="5:26">
      <c r="E44" s="667"/>
      <c r="F44" s="27" t="s">
        <v>223</v>
      </c>
      <c r="G44" s="28" t="s">
        <v>224</v>
      </c>
      <c r="H44" s="28" t="s">
        <v>222</v>
      </c>
      <c r="I44" s="29" t="s">
        <v>224</v>
      </c>
    </row>
    <row r="45" spans="5:26">
      <c r="E45" s="667"/>
      <c r="F45" s="27" t="s">
        <v>224</v>
      </c>
      <c r="G45" s="28" t="s">
        <v>224</v>
      </c>
      <c r="H45" s="28" t="s">
        <v>223</v>
      </c>
      <c r="I45" s="29" t="s">
        <v>224</v>
      </c>
    </row>
    <row r="46" spans="5:26">
      <c r="E46" s="667"/>
      <c r="F46" s="27" t="s">
        <v>225</v>
      </c>
      <c r="G46" s="28" t="s">
        <v>225</v>
      </c>
      <c r="H46" s="28" t="s">
        <v>224</v>
      </c>
      <c r="I46" s="29" t="s">
        <v>225</v>
      </c>
    </row>
    <row r="47" spans="5:26">
      <c r="E47" s="667"/>
      <c r="F47" s="27" t="s">
        <v>226</v>
      </c>
      <c r="G47" s="28" t="s">
        <v>225</v>
      </c>
      <c r="H47" s="28" t="s">
        <v>225</v>
      </c>
      <c r="I47" s="29" t="s">
        <v>225</v>
      </c>
    </row>
    <row r="48" spans="5:26">
      <c r="E48" s="667"/>
      <c r="F48" s="27" t="s">
        <v>227</v>
      </c>
      <c r="G48" s="28" t="s">
        <v>226</v>
      </c>
      <c r="H48" s="28" t="s">
        <v>226</v>
      </c>
      <c r="I48" s="29" t="s">
        <v>226</v>
      </c>
    </row>
    <row r="49" spans="5:12">
      <c r="E49" s="667"/>
      <c r="F49" s="27" t="s">
        <v>228</v>
      </c>
      <c r="G49" s="28" t="s">
        <v>226</v>
      </c>
      <c r="H49" s="28" t="s">
        <v>228</v>
      </c>
      <c r="I49" s="29" t="s">
        <v>226</v>
      </c>
    </row>
    <row r="50" spans="5:12" ht="15.75" thickBot="1">
      <c r="E50" s="668"/>
      <c r="F50" s="43" t="s">
        <v>216</v>
      </c>
      <c r="G50" s="44" t="s">
        <v>226</v>
      </c>
      <c r="H50" s="44" t="s">
        <v>216</v>
      </c>
      <c r="I50" s="45" t="s">
        <v>228</v>
      </c>
      <c r="L50" s="1"/>
    </row>
    <row r="51" spans="5:12" ht="15.75" thickBot="1">
      <c r="F51" s="49" t="str">
        <f ca="1">INDEX(F41:F50,RANDBETWEEN(1,10),1)</f>
        <v>Argent</v>
      </c>
      <c r="G51" s="50" t="str">
        <f ca="1">INDEX(G41:G50,RANDBETWEEN(1,10),1)</f>
        <v xml:space="preserve">Marron </v>
      </c>
      <c r="H51" s="50" t="str">
        <f ca="1">INDEX(H41:H50,RANDBETWEEN(1,10),1)</f>
        <v>Marron foncé</v>
      </c>
      <c r="I51" s="51" t="str">
        <f ca="1">INDEX(I41:I50,RANDBETWEEN(1,10),1)</f>
        <v>Bleu</v>
      </c>
    </row>
    <row r="52" spans="5:12">
      <c r="E52" s="672" t="s">
        <v>232</v>
      </c>
      <c r="F52" s="46">
        <v>30</v>
      </c>
      <c r="G52" s="47">
        <v>20</v>
      </c>
      <c r="H52" s="47">
        <v>16</v>
      </c>
      <c r="I52" s="48">
        <v>20</v>
      </c>
    </row>
    <row r="53" spans="5:12">
      <c r="E53" s="673"/>
      <c r="F53" s="27">
        <v>35</v>
      </c>
      <c r="G53" s="28">
        <v>22</v>
      </c>
      <c r="H53" s="28">
        <v>17</v>
      </c>
      <c r="I53" s="29">
        <v>25</v>
      </c>
    </row>
    <row r="54" spans="5:12">
      <c r="E54" s="673"/>
      <c r="F54" s="27">
        <v>40</v>
      </c>
      <c r="G54" s="28">
        <v>24</v>
      </c>
      <c r="H54" s="28">
        <v>18</v>
      </c>
      <c r="I54" s="29">
        <v>30</v>
      </c>
    </row>
    <row r="55" spans="5:12">
      <c r="E55" s="673"/>
      <c r="F55" s="27">
        <v>45</v>
      </c>
      <c r="G55" s="28">
        <v>26</v>
      </c>
      <c r="H55" s="28">
        <v>19</v>
      </c>
      <c r="I55" s="29">
        <v>35</v>
      </c>
    </row>
    <row r="56" spans="5:12">
      <c r="E56" s="673"/>
      <c r="F56" s="27">
        <v>50</v>
      </c>
      <c r="G56" s="28">
        <v>28</v>
      </c>
      <c r="H56" s="28">
        <v>20</v>
      </c>
      <c r="I56" s="29">
        <v>40</v>
      </c>
    </row>
    <row r="57" spans="5:12">
      <c r="E57" s="673"/>
      <c r="F57" s="27">
        <v>55</v>
      </c>
      <c r="G57" s="28">
        <v>30</v>
      </c>
      <c r="H57" s="28">
        <v>21</v>
      </c>
      <c r="I57" s="29">
        <v>45</v>
      </c>
    </row>
    <row r="58" spans="5:12">
      <c r="E58" s="673"/>
      <c r="F58" s="27">
        <v>60</v>
      </c>
      <c r="G58" s="28">
        <v>32</v>
      </c>
      <c r="H58" s="28">
        <v>22</v>
      </c>
      <c r="I58" s="29">
        <v>50</v>
      </c>
    </row>
    <row r="59" spans="5:12">
      <c r="E59" s="673"/>
      <c r="F59" s="27">
        <v>65</v>
      </c>
      <c r="G59" s="28">
        <v>34</v>
      </c>
      <c r="H59" s="28">
        <v>23</v>
      </c>
      <c r="I59" s="29">
        <v>55</v>
      </c>
    </row>
    <row r="60" spans="5:12">
      <c r="E60" s="673"/>
      <c r="F60" s="27">
        <v>70</v>
      </c>
      <c r="G60" s="28">
        <v>36</v>
      </c>
      <c r="H60" s="28">
        <v>24</v>
      </c>
      <c r="I60" s="29">
        <v>60</v>
      </c>
    </row>
    <row r="61" spans="5:12">
      <c r="E61" s="673"/>
      <c r="F61" s="27">
        <v>75</v>
      </c>
      <c r="G61" s="28">
        <v>38</v>
      </c>
      <c r="H61" s="28">
        <v>25</v>
      </c>
      <c r="I61" s="29">
        <v>65</v>
      </c>
    </row>
    <row r="62" spans="5:12">
      <c r="E62" s="673"/>
      <c r="F62" s="27">
        <v>80</v>
      </c>
      <c r="G62" s="28">
        <v>40</v>
      </c>
      <c r="H62" s="28">
        <v>26</v>
      </c>
      <c r="I62" s="29">
        <v>70</v>
      </c>
    </row>
    <row r="63" spans="5:12">
      <c r="E63" s="673"/>
      <c r="F63" s="27">
        <v>85</v>
      </c>
      <c r="G63" s="28">
        <v>42</v>
      </c>
      <c r="H63" s="28">
        <v>27</v>
      </c>
      <c r="I63" s="29">
        <v>75</v>
      </c>
    </row>
    <row r="64" spans="5:12">
      <c r="E64" s="673"/>
      <c r="F64" s="27">
        <v>90</v>
      </c>
      <c r="G64" s="28">
        <v>44</v>
      </c>
      <c r="H64" s="28">
        <v>28</v>
      </c>
      <c r="I64" s="29">
        <v>80</v>
      </c>
    </row>
    <row r="65" spans="5:12">
      <c r="E65" s="673"/>
      <c r="F65" s="27">
        <v>95</v>
      </c>
      <c r="G65" s="28">
        <v>46</v>
      </c>
      <c r="H65" s="28">
        <v>29</v>
      </c>
      <c r="I65" s="29">
        <v>85</v>
      </c>
    </row>
    <row r="66" spans="5:12">
      <c r="E66" s="673"/>
      <c r="F66" s="27">
        <v>100</v>
      </c>
      <c r="G66" s="28">
        <v>50</v>
      </c>
      <c r="H66" s="28">
        <v>30</v>
      </c>
      <c r="I66" s="29">
        <v>90</v>
      </c>
    </row>
    <row r="67" spans="5:12">
      <c r="E67" s="673"/>
      <c r="F67" s="27">
        <v>105</v>
      </c>
      <c r="G67" s="28">
        <v>52</v>
      </c>
      <c r="H67" s="28">
        <v>31</v>
      </c>
      <c r="I67" s="29">
        <v>95</v>
      </c>
    </row>
    <row r="68" spans="5:12">
      <c r="E68" s="673"/>
      <c r="F68" s="27">
        <v>110</v>
      </c>
      <c r="G68" s="28">
        <v>54</v>
      </c>
      <c r="H68" s="28">
        <v>32</v>
      </c>
      <c r="I68" s="29">
        <v>100</v>
      </c>
    </row>
    <row r="69" spans="5:12">
      <c r="E69" s="673"/>
      <c r="F69" s="27">
        <v>115</v>
      </c>
      <c r="G69" s="28">
        <v>56</v>
      </c>
      <c r="H69" s="28">
        <v>33</v>
      </c>
      <c r="I69" s="29">
        <v>105</v>
      </c>
    </row>
    <row r="70" spans="5:12">
      <c r="E70" s="673"/>
      <c r="F70" s="27">
        <v>120</v>
      </c>
      <c r="G70" s="28">
        <v>58</v>
      </c>
      <c r="H70" s="28">
        <v>34</v>
      </c>
      <c r="I70" s="29">
        <v>110</v>
      </c>
    </row>
    <row r="71" spans="5:12" ht="15.75" thickBot="1">
      <c r="E71" s="674"/>
      <c r="F71" s="43">
        <v>125</v>
      </c>
      <c r="G71" s="44">
        <v>60</v>
      </c>
      <c r="H71" s="44">
        <v>35</v>
      </c>
      <c r="I71" s="45">
        <v>115</v>
      </c>
    </row>
    <row r="72" spans="5:12" ht="15.75" thickBot="1">
      <c r="F72" s="49">
        <f ca="1">INDEX(F52:F71,RANDBETWEEN(1,20),1)</f>
        <v>85</v>
      </c>
      <c r="G72" s="50">
        <f ca="1">INDEX(G52:G71,RANDBETWEEN(1,20),1)</f>
        <v>42</v>
      </c>
      <c r="H72" s="50">
        <f ca="1">INDEX(H52:H71,RANDBETWEEN(1,20),1)</f>
        <v>24</v>
      </c>
      <c r="I72" s="51">
        <f ca="1">INDEX(I52:I71,RANDBETWEEN(1,20),1)</f>
        <v>90</v>
      </c>
    </row>
    <row r="73" spans="5:12">
      <c r="E73" s="666" t="s">
        <v>387</v>
      </c>
      <c r="F73" s="52" t="s">
        <v>310</v>
      </c>
      <c r="G73" s="53" t="s">
        <v>276</v>
      </c>
      <c r="H73" s="53" t="s">
        <v>350</v>
      </c>
      <c r="I73" s="54" t="s">
        <v>236</v>
      </c>
    </row>
    <row r="74" spans="5:12">
      <c r="E74" s="667"/>
      <c r="F74" s="34" t="s">
        <v>312</v>
      </c>
      <c r="G74" s="30" t="s">
        <v>278</v>
      </c>
      <c r="H74" s="30" t="s">
        <v>352</v>
      </c>
      <c r="I74" s="35" t="s">
        <v>238</v>
      </c>
      <c r="L74" s="4"/>
    </row>
    <row r="75" spans="5:12">
      <c r="E75" s="667"/>
      <c r="F75" s="34" t="s">
        <v>314</v>
      </c>
      <c r="G75" s="30" t="s">
        <v>280</v>
      </c>
      <c r="H75" s="30" t="s">
        <v>354</v>
      </c>
      <c r="I75" s="35" t="s">
        <v>240</v>
      </c>
      <c r="L75" s="2"/>
    </row>
    <row r="76" spans="5:12">
      <c r="E76" s="667"/>
      <c r="F76" s="34" t="s">
        <v>316</v>
      </c>
      <c r="G76" s="30" t="s">
        <v>282</v>
      </c>
      <c r="H76" s="30" t="s">
        <v>356</v>
      </c>
      <c r="I76" s="35" t="s">
        <v>242</v>
      </c>
      <c r="L76" s="2"/>
    </row>
    <row r="77" spans="5:12">
      <c r="E77" s="667"/>
      <c r="F77" s="34" t="s">
        <v>318</v>
      </c>
      <c r="G77" s="30" t="s">
        <v>284</v>
      </c>
      <c r="H77" s="30" t="s">
        <v>358</v>
      </c>
      <c r="I77" s="35" t="s">
        <v>244</v>
      </c>
      <c r="L77" s="2"/>
    </row>
    <row r="78" spans="5:12">
      <c r="E78" s="667"/>
      <c r="F78" s="34" t="s">
        <v>320</v>
      </c>
      <c r="G78" s="30" t="s">
        <v>254</v>
      </c>
      <c r="H78" s="30" t="s">
        <v>360</v>
      </c>
      <c r="I78" s="35" t="s">
        <v>246</v>
      </c>
      <c r="L78" s="2"/>
    </row>
    <row r="79" spans="5:12">
      <c r="E79" s="667"/>
      <c r="F79" s="34" t="s">
        <v>322</v>
      </c>
      <c r="G79" s="30" t="s">
        <v>287</v>
      </c>
      <c r="H79" s="30" t="s">
        <v>362</v>
      </c>
      <c r="I79" s="35" t="s">
        <v>248</v>
      </c>
      <c r="L79" s="2"/>
    </row>
    <row r="80" spans="5:12">
      <c r="E80" s="667"/>
      <c r="F80" s="34" t="s">
        <v>324</v>
      </c>
      <c r="G80" s="30" t="s">
        <v>289</v>
      </c>
      <c r="H80" s="30" t="s">
        <v>364</v>
      </c>
      <c r="I80" s="35" t="s">
        <v>250</v>
      </c>
      <c r="L80" s="2"/>
    </row>
    <row r="81" spans="5:12">
      <c r="E81" s="667"/>
      <c r="F81" s="34" t="s">
        <v>326</v>
      </c>
      <c r="G81" s="30" t="s">
        <v>291</v>
      </c>
      <c r="H81" s="30" t="s">
        <v>366</v>
      </c>
      <c r="I81" s="35" t="s">
        <v>252</v>
      </c>
      <c r="L81" s="2"/>
    </row>
    <row r="82" spans="5:12">
      <c r="E82" s="667"/>
      <c r="F82" s="34" t="s">
        <v>328</v>
      </c>
      <c r="G82" s="30" t="s">
        <v>260</v>
      </c>
      <c r="H82" s="30" t="s">
        <v>287</v>
      </c>
      <c r="I82" s="35" t="s">
        <v>254</v>
      </c>
      <c r="L82" s="2"/>
    </row>
    <row r="83" spans="5:12">
      <c r="E83" s="667"/>
      <c r="F83" s="34" t="s">
        <v>330</v>
      </c>
      <c r="G83" s="30" t="s">
        <v>262</v>
      </c>
      <c r="H83" s="30" t="s">
        <v>369</v>
      </c>
      <c r="I83" s="35" t="s">
        <v>256</v>
      </c>
      <c r="L83" s="2"/>
    </row>
    <row r="84" spans="5:12">
      <c r="E84" s="667"/>
      <c r="F84" s="34" t="s">
        <v>332</v>
      </c>
      <c r="G84" s="30" t="s">
        <v>295</v>
      </c>
      <c r="H84" s="30" t="s">
        <v>371</v>
      </c>
      <c r="I84" s="35" t="s">
        <v>258</v>
      </c>
      <c r="L84" s="2"/>
    </row>
    <row r="85" spans="5:12">
      <c r="E85" s="667"/>
      <c r="F85" s="34" t="s">
        <v>334</v>
      </c>
      <c r="G85" s="30" t="s">
        <v>297</v>
      </c>
      <c r="H85" s="30" t="s">
        <v>373</v>
      </c>
      <c r="I85" s="35" t="s">
        <v>260</v>
      </c>
      <c r="L85" s="2"/>
    </row>
    <row r="86" spans="5:12">
      <c r="E86" s="667"/>
      <c r="F86" s="34" t="s">
        <v>336</v>
      </c>
      <c r="G86" s="30" t="s">
        <v>264</v>
      </c>
      <c r="H86" s="30" t="s">
        <v>375</v>
      </c>
      <c r="I86" s="35" t="s">
        <v>262</v>
      </c>
      <c r="L86" s="2"/>
    </row>
    <row r="87" spans="5:12">
      <c r="E87" s="667"/>
      <c r="F87" s="34" t="s">
        <v>338</v>
      </c>
      <c r="G87" s="30" t="s">
        <v>270</v>
      </c>
      <c r="H87" s="30" t="s">
        <v>377</v>
      </c>
      <c r="I87" s="35" t="s">
        <v>264</v>
      </c>
      <c r="L87" s="2"/>
    </row>
    <row r="88" spans="5:12">
      <c r="E88" s="667"/>
      <c r="F88" s="34" t="s">
        <v>340</v>
      </c>
      <c r="G88" s="30" t="s">
        <v>301</v>
      </c>
      <c r="H88" s="30" t="s">
        <v>379</v>
      </c>
      <c r="I88" s="35" t="s">
        <v>266</v>
      </c>
      <c r="L88" s="2"/>
    </row>
    <row r="89" spans="5:12">
      <c r="E89" s="667"/>
      <c r="F89" s="34" t="s">
        <v>342</v>
      </c>
      <c r="G89" s="30" t="s">
        <v>303</v>
      </c>
      <c r="H89" s="30" t="s">
        <v>381</v>
      </c>
      <c r="I89" s="35" t="s">
        <v>268</v>
      </c>
      <c r="L89" s="2"/>
    </row>
    <row r="90" spans="5:12">
      <c r="E90" s="667"/>
      <c r="F90" s="34" t="s">
        <v>344</v>
      </c>
      <c r="G90" s="30" t="s">
        <v>305</v>
      </c>
      <c r="H90" s="30" t="s">
        <v>383</v>
      </c>
      <c r="I90" s="35" t="s">
        <v>270</v>
      </c>
      <c r="L90" s="2"/>
    </row>
    <row r="91" spans="5:12">
      <c r="E91" s="667"/>
      <c r="F91" s="34" t="s">
        <v>346</v>
      </c>
      <c r="G91" s="30" t="s">
        <v>274</v>
      </c>
      <c r="H91" s="30" t="s">
        <v>385</v>
      </c>
      <c r="I91" s="35" t="s">
        <v>272</v>
      </c>
      <c r="L91" s="2"/>
    </row>
    <row r="92" spans="5:12" ht="15.75" thickBot="1">
      <c r="E92" s="668"/>
      <c r="F92" s="36" t="s">
        <v>348</v>
      </c>
      <c r="G92" s="37" t="s">
        <v>308</v>
      </c>
      <c r="H92" s="37" t="s">
        <v>308</v>
      </c>
      <c r="I92" s="38" t="s">
        <v>274</v>
      </c>
      <c r="L92" s="2"/>
    </row>
    <row r="93" spans="5:12" ht="15.75" thickBot="1">
      <c r="F93" s="49" t="str">
        <f ca="1">INDEX(F73:F92,RANDBETWEEN(1,20),1)</f>
        <v xml:space="preserve">Yuviel </v>
      </c>
      <c r="G93" s="50" t="str">
        <f ca="1">INDEX(G73:G92,RANDBETWEEN(1,20),1)</f>
        <v xml:space="preserve">Théda </v>
      </c>
      <c r="H93" s="50" t="str">
        <f ca="1">INDEX(H73:H92,RANDBETWEEN(1,20),1)</f>
        <v xml:space="preserve">Gabrielle </v>
      </c>
      <c r="I93" s="51" t="str">
        <f ca="1">INDEX(I73:I92,RANDBETWEEN(1,20),1)</f>
        <v xml:space="preserve">Sigrun </v>
      </c>
      <c r="L93" s="2"/>
    </row>
    <row r="94" spans="5:12" ht="15" customHeight="1">
      <c r="E94" s="666" t="s">
        <v>388</v>
      </c>
      <c r="F94" s="31" t="s">
        <v>311</v>
      </c>
      <c r="G94" s="32" t="s">
        <v>277</v>
      </c>
      <c r="H94" s="32" t="s">
        <v>351</v>
      </c>
      <c r="I94" s="33" t="s">
        <v>237</v>
      </c>
      <c r="L94" s="2"/>
    </row>
    <row r="95" spans="5:12">
      <c r="E95" s="667"/>
      <c r="F95" s="34" t="s">
        <v>313</v>
      </c>
      <c r="G95" s="30" t="s">
        <v>279</v>
      </c>
      <c r="H95" s="30" t="s">
        <v>353</v>
      </c>
      <c r="I95" s="35" t="s">
        <v>239</v>
      </c>
    </row>
    <row r="96" spans="5:12">
      <c r="E96" s="667"/>
      <c r="F96" s="34" t="s">
        <v>315</v>
      </c>
      <c r="G96" s="30" t="s">
        <v>281</v>
      </c>
      <c r="H96" s="30" t="s">
        <v>355</v>
      </c>
      <c r="I96" s="35" t="s">
        <v>241</v>
      </c>
    </row>
    <row r="97" spans="5:9">
      <c r="E97" s="667"/>
      <c r="F97" s="34" t="s">
        <v>317</v>
      </c>
      <c r="G97" s="30" t="s">
        <v>283</v>
      </c>
      <c r="H97" s="30" t="s">
        <v>357</v>
      </c>
      <c r="I97" s="35" t="s">
        <v>243</v>
      </c>
    </row>
    <row r="98" spans="5:9">
      <c r="E98" s="667"/>
      <c r="F98" s="34" t="s">
        <v>319</v>
      </c>
      <c r="G98" s="30" t="s">
        <v>285</v>
      </c>
      <c r="H98" s="30" t="s">
        <v>359</v>
      </c>
      <c r="I98" s="35" t="s">
        <v>245</v>
      </c>
    </row>
    <row r="99" spans="5:9">
      <c r="E99" s="667"/>
      <c r="F99" s="34" t="s">
        <v>321</v>
      </c>
      <c r="G99" s="30" t="s">
        <v>286</v>
      </c>
      <c r="H99" s="30" t="s">
        <v>361</v>
      </c>
      <c r="I99" s="35" t="s">
        <v>247</v>
      </c>
    </row>
    <row r="100" spans="5:9">
      <c r="E100" s="667"/>
      <c r="F100" s="34" t="s">
        <v>323</v>
      </c>
      <c r="G100" s="30" t="s">
        <v>288</v>
      </c>
      <c r="H100" s="30" t="s">
        <v>363</v>
      </c>
      <c r="I100" s="35" t="s">
        <v>249</v>
      </c>
    </row>
    <row r="101" spans="5:9">
      <c r="E101" s="667"/>
      <c r="F101" s="34" t="s">
        <v>325</v>
      </c>
      <c r="G101" s="30" t="s">
        <v>290</v>
      </c>
      <c r="H101" s="30" t="s">
        <v>365</v>
      </c>
      <c r="I101" s="35" t="s">
        <v>251</v>
      </c>
    </row>
    <row r="102" spans="5:9">
      <c r="E102" s="667"/>
      <c r="F102" s="34" t="s">
        <v>327</v>
      </c>
      <c r="G102" s="30" t="s">
        <v>292</v>
      </c>
      <c r="H102" s="30" t="s">
        <v>367</v>
      </c>
      <c r="I102" s="35" t="s">
        <v>253</v>
      </c>
    </row>
    <row r="103" spans="5:9">
      <c r="E103" s="667"/>
      <c r="F103" s="34" t="s">
        <v>329</v>
      </c>
      <c r="G103" s="30" t="s">
        <v>293</v>
      </c>
      <c r="H103" s="30" t="s">
        <v>368</v>
      </c>
      <c r="I103" s="35" t="s">
        <v>255</v>
      </c>
    </row>
    <row r="104" spans="5:9">
      <c r="E104" s="667"/>
      <c r="F104" s="34" t="s">
        <v>331</v>
      </c>
      <c r="G104" s="30" t="s">
        <v>294</v>
      </c>
      <c r="H104" s="30" t="s">
        <v>370</v>
      </c>
      <c r="I104" s="35" t="s">
        <v>257</v>
      </c>
    </row>
    <row r="105" spans="5:9">
      <c r="E105" s="667"/>
      <c r="F105" s="34" t="s">
        <v>333</v>
      </c>
      <c r="G105" s="30" t="s">
        <v>296</v>
      </c>
      <c r="H105" s="30" t="s">
        <v>372</v>
      </c>
      <c r="I105" s="35" t="s">
        <v>259</v>
      </c>
    </row>
    <row r="106" spans="5:9">
      <c r="E106" s="667"/>
      <c r="F106" s="34" t="s">
        <v>335</v>
      </c>
      <c r="G106" s="30" t="s">
        <v>298</v>
      </c>
      <c r="H106" s="30" t="s">
        <v>374</v>
      </c>
      <c r="I106" s="35" t="s">
        <v>261</v>
      </c>
    </row>
    <row r="107" spans="5:9">
      <c r="E107" s="667"/>
      <c r="F107" s="34" t="s">
        <v>337</v>
      </c>
      <c r="G107" s="30" t="s">
        <v>299</v>
      </c>
      <c r="H107" s="30" t="s">
        <v>376</v>
      </c>
      <c r="I107" s="35" t="s">
        <v>263</v>
      </c>
    </row>
    <row r="108" spans="5:9">
      <c r="E108" s="667"/>
      <c r="F108" s="34" t="s">
        <v>339</v>
      </c>
      <c r="G108" s="30" t="s">
        <v>300</v>
      </c>
      <c r="H108" s="30" t="s">
        <v>378</v>
      </c>
      <c r="I108" s="35" t="s">
        <v>265</v>
      </c>
    </row>
    <row r="109" spans="5:9">
      <c r="E109" s="667"/>
      <c r="F109" s="34" t="s">
        <v>341</v>
      </c>
      <c r="G109" s="30" t="s">
        <v>302</v>
      </c>
      <c r="H109" s="30" t="s">
        <v>380</v>
      </c>
      <c r="I109" s="35" t="s">
        <v>267</v>
      </c>
    </row>
    <row r="110" spans="5:9">
      <c r="E110" s="667"/>
      <c r="F110" s="34" t="s">
        <v>343</v>
      </c>
      <c r="G110" s="30" t="s">
        <v>304</v>
      </c>
      <c r="H110" s="30" t="s">
        <v>382</v>
      </c>
      <c r="I110" s="35" t="s">
        <v>269</v>
      </c>
    </row>
    <row r="111" spans="5:9">
      <c r="E111" s="667"/>
      <c r="F111" s="34" t="s">
        <v>345</v>
      </c>
      <c r="G111" s="30" t="s">
        <v>306</v>
      </c>
      <c r="H111" s="30" t="s">
        <v>384</v>
      </c>
      <c r="I111" s="35" t="s">
        <v>271</v>
      </c>
    </row>
    <row r="112" spans="5:9">
      <c r="E112" s="667"/>
      <c r="F112" s="34" t="s">
        <v>347</v>
      </c>
      <c r="G112" s="30" t="s">
        <v>307</v>
      </c>
      <c r="H112" s="30" t="s">
        <v>386</v>
      </c>
      <c r="I112" s="35" t="s">
        <v>273</v>
      </c>
    </row>
    <row r="113" spans="4:9" ht="15.75" thickBot="1">
      <c r="E113" s="668"/>
      <c r="F113" s="36" t="s">
        <v>349</v>
      </c>
      <c r="G113" s="37" t="s">
        <v>309</v>
      </c>
      <c r="H113" s="37" t="s">
        <v>309</v>
      </c>
      <c r="I113" s="38" t="s">
        <v>275</v>
      </c>
    </row>
    <row r="114" spans="4:9" ht="15.75" thickBot="1">
      <c r="F114" s="49" t="str">
        <f ca="1">INDEX(F94:F113,RANDBETWEEN(1,20),1)</f>
        <v xml:space="preserve"> Cavindel</v>
      </c>
      <c r="G114" s="50" t="str">
        <f ca="1">INDEX(G94:G113,RANDBETWEEN(1,20),1)</f>
        <v xml:space="preserve"> Hugo</v>
      </c>
      <c r="H114" s="50" t="str">
        <f ca="1">INDEX(H94:H113,RANDBETWEEN(1,20),1)</f>
        <v xml:space="preserve"> Wolfgang</v>
      </c>
      <c r="I114" s="51" t="str">
        <f ca="1">INDEX(I94:I113,RANDBETWEEN(1,20),1)</f>
        <v xml:space="preserve"> Orzad</v>
      </c>
    </row>
    <row r="115" spans="4:9" ht="39" thickBot="1">
      <c r="D115" s="5"/>
      <c r="E115" s="61" t="s">
        <v>390</v>
      </c>
      <c r="F115" s="40" t="str">
        <f ca="1">CONCATENATE((RANDBETWEEN(1,10)*0.025)+1.6," m")</f>
        <v>1,825 m</v>
      </c>
      <c r="G115" s="40" t="str">
        <f ca="1">CONCATENATE((RANDBETWEEN(1,10)*0.025)+0.95," m")</f>
        <v>1,1 m</v>
      </c>
      <c r="H115" s="40" t="str">
        <f ca="1">CONCATENATE((RANDBETWEEN(1,10)*0.025)+1.52," m")</f>
        <v>1,545 m</v>
      </c>
      <c r="I115" s="41" t="str">
        <f ca="1">CONCATENATE((RANDBETWEEN(1,10)*0.025)+1.25," m")</f>
        <v>1,475 m</v>
      </c>
    </row>
    <row r="116" spans="4:9" ht="42.75" thickBot="1">
      <c r="D116" s="5"/>
      <c r="E116" s="61" t="s">
        <v>391</v>
      </c>
      <c r="F116" s="40" t="str">
        <f ca="1">CONCATENATE((RANDBETWEEN(1,10)*0.025)+1.65," m")</f>
        <v>1,875 m</v>
      </c>
      <c r="G116" s="40" t="str">
        <f ca="1">CONCATENATE((RANDBETWEEN(1,10)*0.025)+1," m")</f>
        <v>1,075 m</v>
      </c>
      <c r="H116" s="40" t="str">
        <f ca="1">CONCATENATE((RANDBETWEEN(1,10)*0.025)+1.6," m")</f>
        <v>1,65 m</v>
      </c>
      <c r="I116" s="41" t="str">
        <f ca="1">CONCATENATE((RANDBETWEEN(1,10)*0.025)+1.3," m")</f>
        <v>1,35 m</v>
      </c>
    </row>
    <row r="117" spans="4:9">
      <c r="E117" s="663" t="s">
        <v>392</v>
      </c>
      <c r="F117" s="9">
        <v>9</v>
      </c>
      <c r="G117" s="10">
        <v>8</v>
      </c>
      <c r="H117" s="10">
        <v>10</v>
      </c>
      <c r="I117" s="11">
        <v>11</v>
      </c>
    </row>
    <row r="118" spans="4:9">
      <c r="E118" s="664"/>
      <c r="F118" s="12">
        <v>9</v>
      </c>
      <c r="G118" s="8">
        <v>8</v>
      </c>
      <c r="H118" s="8">
        <v>10</v>
      </c>
      <c r="I118" s="13">
        <v>11</v>
      </c>
    </row>
    <row r="119" spans="4:9">
      <c r="E119" s="664"/>
      <c r="F119" s="12">
        <v>9</v>
      </c>
      <c r="G119" s="8">
        <v>8</v>
      </c>
      <c r="H119" s="8">
        <v>10</v>
      </c>
      <c r="I119" s="13">
        <v>11</v>
      </c>
    </row>
    <row r="120" spans="4:9">
      <c r="E120" s="664"/>
      <c r="F120" s="12">
        <v>10</v>
      </c>
      <c r="G120" s="8">
        <v>9</v>
      </c>
      <c r="H120" s="8">
        <v>11</v>
      </c>
      <c r="I120" s="13">
        <v>12</v>
      </c>
    </row>
    <row r="121" spans="4:9">
      <c r="E121" s="664"/>
      <c r="F121" s="12">
        <v>10</v>
      </c>
      <c r="G121" s="8">
        <v>9</v>
      </c>
      <c r="H121" s="8">
        <v>11</v>
      </c>
      <c r="I121" s="13">
        <v>12</v>
      </c>
    </row>
    <row r="122" spans="4:9">
      <c r="E122" s="664"/>
      <c r="F122" s="12">
        <v>10</v>
      </c>
      <c r="G122" s="8">
        <v>9</v>
      </c>
      <c r="H122" s="8">
        <v>11</v>
      </c>
      <c r="I122" s="13">
        <v>12</v>
      </c>
    </row>
    <row r="123" spans="4:9">
      <c r="E123" s="664"/>
      <c r="F123" s="12">
        <v>11</v>
      </c>
      <c r="G123" s="8">
        <v>10</v>
      </c>
      <c r="H123" s="8">
        <v>12</v>
      </c>
      <c r="I123" s="13">
        <v>13</v>
      </c>
    </row>
    <row r="124" spans="4:9">
      <c r="E124" s="664"/>
      <c r="F124" s="12">
        <v>11</v>
      </c>
      <c r="G124" s="8">
        <v>10</v>
      </c>
      <c r="H124" s="8">
        <v>12</v>
      </c>
      <c r="I124" s="13">
        <v>13</v>
      </c>
    </row>
    <row r="125" spans="4:9">
      <c r="E125" s="664"/>
      <c r="F125" s="12">
        <v>11</v>
      </c>
      <c r="G125" s="8">
        <v>10</v>
      </c>
      <c r="H125" s="8">
        <v>12</v>
      </c>
      <c r="I125" s="13">
        <v>13</v>
      </c>
    </row>
    <row r="126" spans="4:9" ht="15.75" thickBot="1">
      <c r="E126" s="665"/>
      <c r="F126" s="14">
        <v>12</v>
      </c>
      <c r="G126" s="15">
        <v>11</v>
      </c>
      <c r="H126" s="15">
        <v>13</v>
      </c>
      <c r="I126" s="16">
        <v>14</v>
      </c>
    </row>
    <row r="127" spans="4:9" ht="15.75" thickBot="1">
      <c r="D127" s="5"/>
      <c r="E127" s="39"/>
      <c r="F127" s="49">
        <f ca="1">INDEX(F117:F126,RANDBETWEEN(1,10),1)</f>
        <v>11</v>
      </c>
      <c r="G127" s="50">
        <f ca="1">INDEX(G117:G126,RANDBETWEEN(1,10),1)</f>
        <v>9</v>
      </c>
      <c r="H127" s="50">
        <f ca="1">INDEX(H117:H126,RANDBETWEEN(1,10),1)</f>
        <v>12</v>
      </c>
      <c r="I127" s="51">
        <f ca="1">INDEX(I117:I126,RANDBETWEEN(1,10),1)</f>
        <v>13</v>
      </c>
    </row>
    <row r="128" spans="4:9">
      <c r="E128" s="663" t="s">
        <v>393</v>
      </c>
      <c r="F128" s="9">
        <v>1</v>
      </c>
      <c r="G128" s="10">
        <v>2</v>
      </c>
      <c r="H128" s="10">
        <v>2</v>
      </c>
      <c r="I128" s="11">
        <v>1</v>
      </c>
    </row>
    <row r="129" spans="1:26">
      <c r="E129" s="664"/>
      <c r="F129" s="12">
        <v>1</v>
      </c>
      <c r="G129" s="8">
        <v>2</v>
      </c>
      <c r="H129" s="8">
        <v>2</v>
      </c>
      <c r="I129" s="13">
        <v>1</v>
      </c>
    </row>
    <row r="130" spans="1:26">
      <c r="E130" s="664"/>
      <c r="F130" s="12">
        <v>1</v>
      </c>
      <c r="G130" s="8">
        <v>2</v>
      </c>
      <c r="H130" s="8">
        <v>2</v>
      </c>
      <c r="I130" s="13">
        <v>1</v>
      </c>
    </row>
    <row r="131" spans="1:26">
      <c r="E131" s="664"/>
      <c r="F131" s="12">
        <v>1</v>
      </c>
      <c r="G131" s="8">
        <v>2</v>
      </c>
      <c r="H131" s="8">
        <v>2</v>
      </c>
      <c r="I131" s="13">
        <v>1</v>
      </c>
    </row>
    <row r="132" spans="1:26">
      <c r="E132" s="664"/>
      <c r="F132" s="12">
        <v>2</v>
      </c>
      <c r="G132" s="8">
        <v>2</v>
      </c>
      <c r="H132" s="8">
        <v>3</v>
      </c>
      <c r="I132" s="13">
        <v>2</v>
      </c>
    </row>
    <row r="133" spans="1:26">
      <c r="E133" s="664"/>
      <c r="F133" s="12">
        <v>2</v>
      </c>
      <c r="G133" s="8">
        <v>2</v>
      </c>
      <c r="H133" s="8">
        <v>3</v>
      </c>
      <c r="I133" s="13">
        <v>2</v>
      </c>
    </row>
    <row r="134" spans="1:26">
      <c r="E134" s="664"/>
      <c r="F134" s="12">
        <v>2</v>
      </c>
      <c r="G134" s="8">
        <v>2</v>
      </c>
      <c r="H134" s="8">
        <v>3</v>
      </c>
      <c r="I134" s="13">
        <v>2</v>
      </c>
    </row>
    <row r="135" spans="1:26">
      <c r="E135" s="664"/>
      <c r="F135" s="12">
        <v>3</v>
      </c>
      <c r="G135" s="8">
        <v>3</v>
      </c>
      <c r="H135" s="8">
        <v>3</v>
      </c>
      <c r="I135" s="13">
        <v>3</v>
      </c>
    </row>
    <row r="136" spans="1:26">
      <c r="E136" s="664"/>
      <c r="F136" s="12">
        <v>3</v>
      </c>
      <c r="G136" s="8">
        <v>3</v>
      </c>
      <c r="H136" s="8">
        <v>3</v>
      </c>
      <c r="I136" s="13">
        <v>3</v>
      </c>
    </row>
    <row r="137" spans="1:26" ht="15.75" thickBot="1">
      <c r="E137" s="665"/>
      <c r="F137" s="14">
        <v>3</v>
      </c>
      <c r="G137" s="15">
        <v>3</v>
      </c>
      <c r="H137" s="15">
        <v>3</v>
      </c>
      <c r="I137" s="16">
        <v>3</v>
      </c>
    </row>
    <row r="138" spans="1:26">
      <c r="D138" s="5"/>
      <c r="E138" s="39"/>
      <c r="F138" s="342">
        <f ca="1">INDEX(F128:F137,RANDBETWEEN(1,10),1)</f>
        <v>3</v>
      </c>
      <c r="G138" s="343">
        <f ca="1">INDEX(G128:G137,RANDBETWEEN(1,10),1)</f>
        <v>3</v>
      </c>
      <c r="H138" s="343">
        <f ca="1">INDEX(H128:H137,RANDBETWEEN(1,10),1)</f>
        <v>2</v>
      </c>
      <c r="I138" s="344">
        <f ca="1">INDEX(I128:I137,RANDBETWEEN(1,10),1)</f>
        <v>3</v>
      </c>
    </row>
    <row r="139" spans="1:26">
      <c r="A139" s="71"/>
      <c r="B139" s="71"/>
      <c r="C139" s="71"/>
      <c r="D139" s="71"/>
      <c r="E139" s="71"/>
      <c r="F139" s="71"/>
      <c r="G139" s="71"/>
      <c r="H139" s="71"/>
      <c r="I139" s="71"/>
      <c r="J139" s="71"/>
      <c r="K139" s="71"/>
      <c r="L139" s="71"/>
      <c r="M139" s="71"/>
      <c r="N139" s="71"/>
      <c r="O139" s="71"/>
      <c r="P139" s="71"/>
      <c r="Q139" s="71"/>
      <c r="R139" s="71"/>
      <c r="S139" s="71"/>
      <c r="T139" s="71"/>
      <c r="U139" s="71"/>
      <c r="V139" s="71"/>
      <c r="W139" s="71"/>
      <c r="X139" s="71"/>
      <c r="Y139" s="71"/>
      <c r="Z139" s="71"/>
    </row>
    <row r="140" spans="1:26">
      <c r="A140" s="71"/>
      <c r="B140" s="71"/>
      <c r="C140" s="71"/>
      <c r="D140" s="71"/>
      <c r="E140" s="71"/>
      <c r="F140" s="71"/>
      <c r="G140" s="71"/>
      <c r="H140" s="71"/>
      <c r="I140" s="71"/>
      <c r="J140" s="71"/>
      <c r="K140" s="71"/>
      <c r="L140" s="71"/>
      <c r="M140" s="71"/>
      <c r="N140" s="71"/>
      <c r="O140" s="71"/>
      <c r="P140" s="71"/>
      <c r="Q140" s="71"/>
      <c r="R140" s="71"/>
      <c r="S140" s="71"/>
      <c r="T140" s="71"/>
      <c r="U140" s="71"/>
      <c r="V140" s="71"/>
      <c r="W140" s="71"/>
      <c r="X140" s="71"/>
      <c r="Y140" s="71"/>
      <c r="Z140" s="71"/>
    </row>
    <row r="141" spans="1:26">
      <c r="A141" s="71"/>
      <c r="B141" s="132"/>
      <c r="C141" s="132"/>
      <c r="D141" s="345"/>
      <c r="E141" s="132"/>
      <c r="F141" s="132"/>
      <c r="G141" s="132"/>
      <c r="H141" s="132"/>
      <c r="I141" s="132"/>
      <c r="J141" s="132"/>
      <c r="K141" s="132"/>
      <c r="L141" s="132"/>
      <c r="M141" s="71"/>
      <c r="N141" s="71"/>
      <c r="O141" s="71"/>
      <c r="P141" s="71"/>
      <c r="Q141" s="71"/>
      <c r="R141" s="71"/>
      <c r="S141" s="71"/>
      <c r="T141" s="71"/>
      <c r="U141" s="71"/>
      <c r="V141" s="71"/>
      <c r="W141" s="71"/>
      <c r="X141" s="71"/>
      <c r="Y141" s="71"/>
      <c r="Z141" s="71"/>
    </row>
    <row r="142" spans="1:26">
      <c r="A142" s="132"/>
      <c r="B142" s="132"/>
      <c r="C142" s="132"/>
      <c r="D142" s="345"/>
      <c r="E142" s="132"/>
      <c r="F142" s="132"/>
      <c r="G142" s="132"/>
      <c r="H142" s="132"/>
      <c r="I142" s="132"/>
      <c r="J142" s="132"/>
      <c r="K142" s="132"/>
      <c r="L142" s="132"/>
      <c r="M142" s="346"/>
      <c r="N142" s="132"/>
      <c r="O142" s="345"/>
      <c r="P142" s="132"/>
      <c r="Q142" s="132"/>
      <c r="R142" s="132"/>
      <c r="S142" s="132"/>
      <c r="T142" s="132"/>
      <c r="U142" s="132"/>
      <c r="V142" s="132"/>
      <c r="W142" s="132"/>
      <c r="X142" s="71"/>
      <c r="Y142" s="71"/>
      <c r="Z142" s="71"/>
    </row>
    <row r="143" spans="1:26">
      <c r="A143" s="132"/>
      <c r="B143" s="132"/>
      <c r="C143" s="132"/>
      <c r="D143" s="345"/>
      <c r="E143" s="132"/>
      <c r="F143" s="132"/>
      <c r="G143" s="132"/>
      <c r="H143" s="132"/>
      <c r="I143" s="132"/>
      <c r="J143" s="71"/>
      <c r="K143" s="291"/>
      <c r="L143" s="132"/>
      <c r="M143" s="346"/>
      <c r="N143" s="132"/>
      <c r="O143" s="132"/>
      <c r="P143" s="132"/>
      <c r="Q143" s="132"/>
      <c r="R143" s="132"/>
      <c r="S143" s="132"/>
      <c r="T143" s="132"/>
      <c r="U143" s="132"/>
      <c r="V143" s="132"/>
      <c r="W143" s="132"/>
      <c r="X143" s="71"/>
      <c r="Y143" s="71"/>
      <c r="Z143" s="71"/>
    </row>
    <row r="144" spans="1:26">
      <c r="A144" s="132"/>
      <c r="B144" s="132"/>
      <c r="C144" s="132"/>
      <c r="D144" s="345"/>
      <c r="E144" s="132"/>
      <c r="F144" s="132"/>
      <c r="G144" s="132"/>
      <c r="H144" s="132"/>
      <c r="I144" s="132"/>
      <c r="J144" s="71"/>
      <c r="K144" s="291"/>
      <c r="L144" s="132"/>
      <c r="M144" s="346"/>
      <c r="N144" s="132"/>
      <c r="O144" s="132"/>
      <c r="P144" s="132"/>
      <c r="Q144" s="132"/>
      <c r="R144" s="132"/>
      <c r="S144" s="132"/>
      <c r="T144" s="132"/>
      <c r="U144" s="132"/>
      <c r="V144" s="132"/>
      <c r="W144" s="132"/>
      <c r="X144" s="71"/>
      <c r="Y144" s="71"/>
      <c r="Z144" s="71"/>
    </row>
    <row r="145" spans="1:26">
      <c r="A145" s="132"/>
      <c r="B145" s="132"/>
      <c r="C145" s="132"/>
      <c r="D145" s="345"/>
      <c r="E145" s="132"/>
      <c r="F145" s="132"/>
      <c r="G145" s="132"/>
      <c r="H145" s="132"/>
      <c r="I145" s="132"/>
      <c r="J145" s="71"/>
      <c r="K145" s="291"/>
      <c r="L145" s="132"/>
      <c r="M145" s="346"/>
      <c r="N145" s="132"/>
      <c r="O145" s="132"/>
      <c r="P145" s="132"/>
      <c r="Q145" s="132"/>
      <c r="R145" s="132"/>
      <c r="S145" s="132"/>
      <c r="T145" s="132"/>
      <c r="U145" s="132"/>
      <c r="V145" s="132"/>
      <c r="W145" s="132"/>
      <c r="X145" s="71"/>
      <c r="Y145" s="71"/>
      <c r="Z145" s="71"/>
    </row>
    <row r="146" spans="1:26">
      <c r="A146" s="132"/>
      <c r="B146" s="132"/>
      <c r="C146" s="132"/>
      <c r="D146" s="345"/>
      <c r="E146" s="132"/>
      <c r="F146" s="132"/>
      <c r="G146" s="132"/>
      <c r="H146" s="132"/>
      <c r="I146" s="132"/>
      <c r="J146" s="71"/>
      <c r="K146" s="291"/>
      <c r="L146" s="132"/>
      <c r="M146" s="346"/>
      <c r="N146" s="132"/>
      <c r="O146" s="132"/>
      <c r="P146" s="132"/>
      <c r="Q146" s="132"/>
      <c r="R146" s="132"/>
      <c r="S146" s="132"/>
      <c r="T146" s="132"/>
      <c r="U146" s="132"/>
      <c r="V146" s="132"/>
      <c r="W146" s="132"/>
      <c r="X146" s="71"/>
      <c r="Y146" s="71"/>
      <c r="Z146" s="71"/>
    </row>
    <row r="147" spans="1:26">
      <c r="A147" s="132"/>
      <c r="B147" s="132"/>
      <c r="C147" s="132"/>
      <c r="D147" s="345"/>
      <c r="E147" s="132"/>
      <c r="F147" s="132"/>
      <c r="G147" s="132"/>
      <c r="H147" s="132"/>
      <c r="I147" s="132"/>
      <c r="J147" s="71"/>
      <c r="K147" s="291"/>
      <c r="L147" s="132"/>
      <c r="M147" s="346"/>
      <c r="N147" s="132"/>
      <c r="O147" s="132"/>
      <c r="P147" s="132"/>
      <c r="Q147" s="132"/>
      <c r="R147" s="132"/>
      <c r="S147" s="132"/>
      <c r="T147" s="132"/>
      <c r="U147" s="132"/>
      <c r="V147" s="132"/>
      <c r="W147" s="132"/>
      <c r="X147" s="71"/>
      <c r="Y147" s="71"/>
      <c r="Z147" s="71"/>
    </row>
    <row r="148" spans="1:26">
      <c r="A148" s="132"/>
      <c r="B148" s="132"/>
      <c r="C148" s="132"/>
      <c r="D148" s="345"/>
      <c r="E148" s="132"/>
      <c r="F148" s="132"/>
      <c r="G148" s="132"/>
      <c r="H148" s="132"/>
      <c r="I148" s="132"/>
      <c r="J148" s="71"/>
      <c r="K148" s="291"/>
      <c r="L148" s="132"/>
      <c r="M148" s="341"/>
      <c r="N148" s="71"/>
      <c r="O148" s="71"/>
      <c r="P148" s="71"/>
      <c r="Q148" s="71"/>
      <c r="R148" s="71"/>
      <c r="S148" s="71"/>
      <c r="T148" s="71"/>
      <c r="U148" s="71"/>
      <c r="V148" s="71"/>
      <c r="W148" s="71"/>
      <c r="X148" s="71"/>
      <c r="Y148" s="71"/>
      <c r="Z148" s="71"/>
    </row>
    <row r="149" spans="1:26">
      <c r="A149" s="132"/>
      <c r="B149" s="132"/>
      <c r="C149" s="132"/>
      <c r="D149" s="345"/>
      <c r="E149" s="132"/>
      <c r="F149" s="132"/>
      <c r="G149" s="132"/>
      <c r="H149" s="132"/>
      <c r="I149" s="132"/>
      <c r="J149" s="71"/>
      <c r="K149" s="291"/>
      <c r="L149" s="132"/>
      <c r="M149" s="71"/>
      <c r="N149" s="71"/>
      <c r="O149" s="71"/>
      <c r="P149" s="71"/>
      <c r="Q149" s="71"/>
      <c r="R149" s="71"/>
      <c r="S149" s="71"/>
      <c r="T149" s="71"/>
      <c r="U149" s="71"/>
      <c r="V149" s="71"/>
      <c r="W149" s="71"/>
      <c r="X149" s="71"/>
      <c r="Y149" s="71"/>
      <c r="Z149" s="71"/>
    </row>
    <row r="150" spans="1:26">
      <c r="A150" s="132"/>
      <c r="B150" s="132"/>
      <c r="C150" s="132"/>
      <c r="D150" s="345"/>
      <c r="E150" s="345"/>
      <c r="F150" s="132"/>
      <c r="G150" s="132"/>
      <c r="H150" s="132"/>
      <c r="I150" s="132"/>
      <c r="J150" s="71"/>
      <c r="K150" s="347"/>
      <c r="L150" s="132"/>
      <c r="M150" s="71"/>
      <c r="N150" s="71"/>
      <c r="O150" s="71"/>
      <c r="P150" s="71"/>
      <c r="Q150" s="71"/>
      <c r="R150" s="71"/>
      <c r="S150" s="71"/>
      <c r="T150" s="71"/>
      <c r="U150" s="71"/>
      <c r="V150" s="71"/>
      <c r="W150" s="71"/>
      <c r="X150" s="71"/>
      <c r="Y150" s="71"/>
      <c r="Z150" s="71"/>
    </row>
    <row r="151" spans="1:26">
      <c r="A151" s="132"/>
      <c r="B151" s="132"/>
      <c r="C151" s="132"/>
      <c r="D151" s="345"/>
      <c r="E151" s="345"/>
      <c r="F151" s="132"/>
      <c r="G151" s="132"/>
      <c r="H151" s="132"/>
      <c r="I151" s="132"/>
      <c r="J151" s="71"/>
      <c r="K151" s="347"/>
      <c r="L151" s="132"/>
      <c r="M151" s="71"/>
      <c r="N151" s="71"/>
      <c r="O151" s="71"/>
      <c r="P151" s="71"/>
      <c r="Q151" s="71"/>
      <c r="R151" s="71"/>
      <c r="S151" s="71"/>
      <c r="T151" s="71"/>
      <c r="U151" s="71"/>
      <c r="V151" s="71"/>
      <c r="W151" s="71"/>
      <c r="X151" s="71"/>
      <c r="Y151" s="71"/>
      <c r="Z151" s="71"/>
    </row>
    <row r="152" spans="1:26">
      <c r="A152" s="132"/>
      <c r="B152" s="132"/>
      <c r="C152" s="132"/>
      <c r="D152" s="345"/>
      <c r="E152" s="345"/>
      <c r="F152" s="132"/>
      <c r="G152" s="132"/>
      <c r="H152" s="132"/>
      <c r="I152" s="132"/>
      <c r="J152" s="71"/>
      <c r="K152" s="347"/>
      <c r="L152" s="132"/>
      <c r="M152" s="71"/>
      <c r="N152" s="71"/>
      <c r="O152" s="71"/>
      <c r="P152" s="71"/>
      <c r="Q152" s="71"/>
      <c r="R152" s="71"/>
      <c r="S152" s="71"/>
      <c r="T152" s="71"/>
      <c r="U152" s="71"/>
      <c r="V152" s="71"/>
      <c r="W152" s="71"/>
      <c r="X152" s="71"/>
      <c r="Y152" s="71"/>
      <c r="Z152" s="71"/>
    </row>
    <row r="153" spans="1:26">
      <c r="A153" s="132"/>
      <c r="B153" s="132"/>
      <c r="C153" s="132"/>
      <c r="D153" s="345"/>
      <c r="E153" s="132"/>
      <c r="F153" s="132"/>
      <c r="G153" s="132"/>
      <c r="H153" s="132"/>
      <c r="I153" s="132"/>
      <c r="J153" s="71"/>
      <c r="K153" s="291"/>
      <c r="L153" s="132"/>
      <c r="M153" s="71"/>
      <c r="N153" s="71"/>
      <c r="O153" s="71"/>
      <c r="P153" s="71"/>
      <c r="Q153" s="71"/>
      <c r="R153" s="71"/>
      <c r="S153" s="71"/>
      <c r="T153" s="71"/>
      <c r="U153" s="71"/>
      <c r="V153" s="71"/>
      <c r="W153" s="71"/>
      <c r="X153" s="71"/>
      <c r="Y153" s="71"/>
      <c r="Z153" s="71"/>
    </row>
    <row r="154" spans="1:26">
      <c r="A154" s="132"/>
      <c r="B154" s="132"/>
      <c r="C154" s="132"/>
      <c r="D154" s="345"/>
      <c r="E154" s="132"/>
      <c r="F154" s="132"/>
      <c r="G154" s="132"/>
      <c r="H154" s="132"/>
      <c r="I154" s="132"/>
      <c r="J154" s="71"/>
      <c r="K154" s="291"/>
      <c r="L154" s="132"/>
      <c r="M154" s="71"/>
      <c r="N154" s="71"/>
      <c r="O154" s="71"/>
      <c r="P154" s="71"/>
      <c r="Q154" s="71"/>
      <c r="R154" s="71"/>
      <c r="S154" s="71"/>
      <c r="T154" s="71"/>
      <c r="U154" s="71"/>
      <c r="V154" s="71"/>
      <c r="W154" s="71"/>
      <c r="X154" s="71"/>
      <c r="Y154" s="71"/>
      <c r="Z154" s="71"/>
    </row>
    <row r="155" spans="1:26">
      <c r="A155" s="132"/>
      <c r="B155" s="132"/>
      <c r="C155" s="132"/>
      <c r="D155" s="345"/>
      <c r="E155" s="345"/>
      <c r="F155" s="132"/>
      <c r="G155" s="132"/>
      <c r="H155" s="132"/>
      <c r="I155" s="132"/>
      <c r="J155" s="71"/>
      <c r="K155" s="347"/>
      <c r="L155" s="132"/>
      <c r="M155" s="71"/>
      <c r="N155" s="71"/>
      <c r="O155" s="71"/>
      <c r="P155" s="71"/>
      <c r="Q155" s="71"/>
      <c r="R155" s="71"/>
      <c r="S155" s="71"/>
      <c r="T155" s="71"/>
      <c r="U155" s="71"/>
      <c r="V155" s="71"/>
      <c r="W155" s="71"/>
      <c r="X155" s="71"/>
      <c r="Y155" s="71"/>
      <c r="Z155" s="71"/>
    </row>
    <row r="156" spans="1:26">
      <c r="A156" s="132"/>
      <c r="B156" s="132"/>
      <c r="C156" s="132"/>
      <c r="D156" s="345"/>
      <c r="E156" s="132"/>
      <c r="F156" s="132"/>
      <c r="G156" s="132"/>
      <c r="H156" s="132"/>
      <c r="I156" s="132"/>
      <c r="J156" s="71"/>
      <c r="K156" s="291"/>
      <c r="L156" s="132"/>
      <c r="M156" s="71"/>
      <c r="N156" s="71"/>
      <c r="O156" s="71"/>
      <c r="P156" s="71"/>
      <c r="Q156" s="71"/>
      <c r="R156" s="71"/>
      <c r="S156" s="71"/>
      <c r="T156" s="71"/>
      <c r="U156" s="71"/>
      <c r="V156" s="71"/>
      <c r="W156" s="71"/>
      <c r="X156" s="71"/>
      <c r="Y156" s="71"/>
      <c r="Z156" s="71"/>
    </row>
    <row r="157" spans="1:26">
      <c r="A157" s="132"/>
      <c r="B157" s="132"/>
      <c r="C157" s="132"/>
      <c r="D157" s="345"/>
      <c r="E157" s="345"/>
      <c r="F157" s="132"/>
      <c r="G157" s="132"/>
      <c r="H157" s="132"/>
      <c r="I157" s="132"/>
      <c r="J157" s="71"/>
      <c r="K157" s="291"/>
      <c r="L157" s="132"/>
      <c r="M157" s="71"/>
      <c r="N157" s="71"/>
      <c r="O157" s="71"/>
      <c r="P157" s="71"/>
      <c r="Q157" s="71"/>
      <c r="R157" s="71"/>
      <c r="S157" s="71"/>
      <c r="T157" s="71"/>
      <c r="U157" s="71"/>
      <c r="V157" s="71"/>
      <c r="W157" s="71"/>
      <c r="X157" s="71"/>
      <c r="Y157" s="71"/>
      <c r="Z157" s="71"/>
    </row>
    <row r="158" spans="1:26">
      <c r="A158" s="132"/>
      <c r="B158" s="132"/>
      <c r="C158" s="132"/>
      <c r="D158" s="345"/>
      <c r="E158" s="345"/>
      <c r="F158" s="132"/>
      <c r="G158" s="132"/>
      <c r="H158" s="132"/>
      <c r="I158" s="132"/>
      <c r="J158" s="71"/>
      <c r="K158" s="291"/>
      <c r="L158" s="132"/>
      <c r="M158" s="71"/>
      <c r="N158" s="71"/>
      <c r="O158" s="71"/>
      <c r="P158" s="71"/>
      <c r="Q158" s="71"/>
      <c r="R158" s="71"/>
      <c r="S158" s="71"/>
      <c r="T158" s="71"/>
      <c r="U158" s="71"/>
      <c r="V158" s="71"/>
      <c r="W158" s="71"/>
      <c r="X158" s="71"/>
      <c r="Y158" s="71"/>
      <c r="Z158" s="71"/>
    </row>
    <row r="159" spans="1:26">
      <c r="A159" s="132"/>
      <c r="B159" s="132"/>
      <c r="C159" s="132"/>
      <c r="D159" s="345"/>
      <c r="E159" s="345"/>
      <c r="F159" s="132"/>
      <c r="G159" s="132"/>
      <c r="H159" s="132"/>
      <c r="I159" s="132"/>
      <c r="J159" s="71"/>
      <c r="K159" s="291"/>
      <c r="L159" s="345"/>
      <c r="M159" s="71"/>
      <c r="N159" s="71"/>
      <c r="O159" s="71"/>
      <c r="P159" s="71"/>
      <c r="Q159" s="71"/>
      <c r="R159" s="71"/>
      <c r="S159" s="71"/>
      <c r="T159" s="71"/>
      <c r="U159" s="71"/>
      <c r="V159" s="71"/>
      <c r="W159" s="71"/>
      <c r="X159" s="71"/>
      <c r="Y159" s="71"/>
      <c r="Z159" s="71"/>
    </row>
    <row r="160" spans="1:26">
      <c r="A160" s="132"/>
      <c r="B160" s="132"/>
      <c r="C160" s="132"/>
      <c r="D160" s="345"/>
      <c r="E160" s="132"/>
      <c r="F160" s="132"/>
      <c r="G160" s="132"/>
      <c r="H160" s="132"/>
      <c r="I160" s="132"/>
      <c r="J160" s="71"/>
      <c r="K160" s="291"/>
      <c r="L160" s="132"/>
      <c r="M160" s="71"/>
      <c r="N160" s="71"/>
      <c r="O160" s="71"/>
      <c r="P160" s="71"/>
      <c r="Q160" s="71"/>
      <c r="R160" s="71"/>
      <c r="S160" s="71"/>
      <c r="T160" s="71"/>
      <c r="U160" s="71"/>
      <c r="V160" s="71"/>
      <c r="W160" s="71"/>
      <c r="X160" s="71"/>
      <c r="Y160" s="71"/>
      <c r="Z160" s="71"/>
    </row>
    <row r="161" spans="1:26">
      <c r="A161" s="132"/>
      <c r="B161" s="132"/>
      <c r="C161" s="132"/>
      <c r="D161" s="345"/>
      <c r="E161" s="345"/>
      <c r="F161" s="132"/>
      <c r="G161" s="132"/>
      <c r="H161" s="132"/>
      <c r="I161" s="132"/>
      <c r="J161" s="71"/>
      <c r="K161" s="291"/>
      <c r="L161" s="132"/>
      <c r="M161" s="71"/>
      <c r="N161" s="71"/>
      <c r="O161" s="71"/>
      <c r="P161" s="71"/>
      <c r="Q161" s="71"/>
      <c r="R161" s="71"/>
      <c r="S161" s="71"/>
      <c r="T161" s="71"/>
      <c r="U161" s="71"/>
      <c r="V161" s="71"/>
      <c r="W161" s="71"/>
      <c r="X161" s="71"/>
      <c r="Y161" s="71"/>
      <c r="Z161" s="71"/>
    </row>
    <row r="162" spans="1:26">
      <c r="A162" s="132"/>
      <c r="B162" s="132"/>
      <c r="C162" s="132"/>
      <c r="D162" s="345"/>
      <c r="E162" s="132"/>
      <c r="F162" s="132"/>
      <c r="G162" s="132"/>
      <c r="H162" s="132"/>
      <c r="I162" s="132"/>
      <c r="J162" s="71"/>
      <c r="K162" s="291"/>
      <c r="L162" s="132"/>
      <c r="M162" s="71"/>
      <c r="N162" s="71"/>
      <c r="O162" s="71"/>
      <c r="P162" s="71"/>
      <c r="Q162" s="71"/>
      <c r="R162" s="71"/>
      <c r="S162" s="71"/>
      <c r="T162" s="71"/>
      <c r="U162" s="71"/>
      <c r="V162" s="71"/>
      <c r="W162" s="71"/>
      <c r="X162" s="71"/>
      <c r="Y162" s="71"/>
      <c r="Z162" s="71"/>
    </row>
    <row r="163" spans="1:26">
      <c r="A163" s="132"/>
      <c r="B163" s="132"/>
      <c r="C163" s="132"/>
      <c r="D163" s="345"/>
      <c r="E163" s="345"/>
      <c r="F163" s="132"/>
      <c r="G163" s="132"/>
      <c r="H163" s="132"/>
      <c r="I163" s="132"/>
      <c r="J163" s="71"/>
      <c r="K163" s="291"/>
      <c r="L163" s="132"/>
      <c r="M163" s="71"/>
      <c r="N163" s="71"/>
      <c r="O163" s="71"/>
      <c r="P163" s="71"/>
      <c r="Q163" s="71"/>
      <c r="R163" s="71"/>
      <c r="S163" s="71"/>
      <c r="T163" s="71"/>
      <c r="U163" s="71"/>
      <c r="V163" s="71"/>
      <c r="W163" s="71"/>
      <c r="X163" s="71"/>
      <c r="Y163" s="71"/>
      <c r="Z163" s="71"/>
    </row>
    <row r="164" spans="1:26">
      <c r="A164" s="132"/>
      <c r="B164" s="132"/>
      <c r="C164" s="132"/>
      <c r="D164" s="345"/>
      <c r="E164" s="345"/>
      <c r="F164" s="132"/>
      <c r="G164" s="132"/>
      <c r="H164" s="132"/>
      <c r="I164" s="132"/>
      <c r="J164" s="71"/>
      <c r="K164" s="291"/>
      <c r="L164" s="132"/>
      <c r="M164" s="71"/>
      <c r="N164" s="71"/>
      <c r="O164" s="71"/>
      <c r="P164" s="71"/>
      <c r="Q164" s="71"/>
      <c r="R164" s="71"/>
      <c r="S164" s="71"/>
      <c r="T164" s="71"/>
      <c r="U164" s="71"/>
      <c r="V164" s="71"/>
      <c r="W164" s="71"/>
      <c r="X164" s="71"/>
      <c r="Y164" s="71"/>
      <c r="Z164" s="71"/>
    </row>
    <row r="165" spans="1:26">
      <c r="A165" s="132"/>
      <c r="B165" s="132"/>
      <c r="C165" s="132"/>
      <c r="D165" s="345"/>
      <c r="E165" s="132"/>
      <c r="F165" s="132"/>
      <c r="G165" s="132"/>
      <c r="H165" s="132"/>
      <c r="I165" s="132"/>
      <c r="J165" s="71"/>
      <c r="K165" s="291"/>
      <c r="L165" s="132"/>
      <c r="M165" s="71"/>
      <c r="N165" s="71"/>
      <c r="O165" s="71"/>
      <c r="P165" s="71"/>
      <c r="Q165" s="71"/>
      <c r="R165" s="71"/>
      <c r="S165" s="71"/>
      <c r="T165" s="71"/>
      <c r="U165" s="71"/>
      <c r="V165" s="71"/>
      <c r="W165" s="71"/>
      <c r="X165" s="71"/>
      <c r="Y165" s="71"/>
      <c r="Z165" s="71"/>
    </row>
    <row r="166" spans="1:26">
      <c r="A166" s="132"/>
      <c r="B166" s="132"/>
      <c r="C166" s="132"/>
      <c r="D166" s="345"/>
      <c r="E166" s="132"/>
      <c r="F166" s="132"/>
      <c r="G166" s="132"/>
      <c r="H166" s="132"/>
      <c r="I166" s="132"/>
      <c r="J166" s="71"/>
      <c r="K166" s="291"/>
      <c r="L166" s="132"/>
      <c r="M166" s="71"/>
      <c r="N166" s="71"/>
      <c r="O166" s="71"/>
      <c r="P166" s="71"/>
      <c r="Q166" s="71"/>
      <c r="R166" s="71"/>
      <c r="S166" s="71"/>
      <c r="T166" s="71"/>
      <c r="U166" s="71"/>
      <c r="V166" s="71"/>
      <c r="W166" s="71"/>
      <c r="X166" s="71"/>
      <c r="Y166" s="71"/>
      <c r="Z166" s="71"/>
    </row>
    <row r="167" spans="1:26">
      <c r="A167" s="132"/>
      <c r="B167" s="132"/>
      <c r="C167" s="132"/>
      <c r="D167" s="345"/>
      <c r="E167" s="132"/>
      <c r="F167" s="132"/>
      <c r="G167" s="132"/>
      <c r="H167" s="132"/>
      <c r="I167" s="132"/>
      <c r="J167" s="71"/>
      <c r="K167" s="291"/>
      <c r="L167" s="132"/>
      <c r="M167" s="71"/>
      <c r="N167" s="71"/>
      <c r="O167" s="71"/>
      <c r="P167" s="71"/>
      <c r="Q167" s="71"/>
      <c r="R167" s="71"/>
      <c r="S167" s="71"/>
      <c r="T167" s="71"/>
      <c r="U167" s="71"/>
      <c r="V167" s="71"/>
      <c r="W167" s="71"/>
      <c r="X167" s="71"/>
      <c r="Y167" s="71"/>
      <c r="Z167" s="71"/>
    </row>
    <row r="168" spans="1:26">
      <c r="A168" s="132"/>
      <c r="B168" s="132"/>
      <c r="C168" s="132"/>
      <c r="D168" s="345"/>
      <c r="E168" s="345"/>
      <c r="F168" s="132"/>
      <c r="G168" s="132"/>
      <c r="H168" s="132"/>
      <c r="I168" s="132"/>
      <c r="J168" s="71"/>
      <c r="K168" s="291"/>
      <c r="L168" s="132"/>
      <c r="M168" s="71"/>
      <c r="N168" s="71"/>
      <c r="O168" s="71"/>
      <c r="P168" s="71"/>
      <c r="Q168" s="71"/>
      <c r="R168" s="71"/>
      <c r="S168" s="71"/>
      <c r="T168" s="71"/>
      <c r="U168" s="71"/>
      <c r="V168" s="71"/>
      <c r="W168" s="71"/>
      <c r="X168" s="71"/>
      <c r="Y168" s="71"/>
      <c r="Z168" s="71"/>
    </row>
    <row r="169" spans="1:26">
      <c r="A169" s="132"/>
      <c r="B169" s="132"/>
      <c r="C169" s="132"/>
      <c r="D169" s="345"/>
      <c r="E169" s="132"/>
      <c r="F169" s="132"/>
      <c r="G169" s="132"/>
      <c r="H169" s="132"/>
      <c r="I169" s="132"/>
      <c r="J169" s="71"/>
      <c r="K169" s="291"/>
      <c r="L169" s="132"/>
      <c r="M169" s="71"/>
      <c r="N169" s="71"/>
      <c r="O169" s="71"/>
      <c r="P169" s="71"/>
      <c r="Q169" s="71"/>
      <c r="R169" s="71"/>
      <c r="S169" s="71"/>
      <c r="T169" s="71"/>
      <c r="U169" s="71"/>
      <c r="V169" s="71"/>
      <c r="W169" s="71"/>
      <c r="X169" s="71"/>
      <c r="Y169" s="71"/>
      <c r="Z169" s="71"/>
    </row>
    <row r="170" spans="1:26">
      <c r="A170" s="132"/>
      <c r="B170" s="132"/>
      <c r="C170" s="132"/>
      <c r="D170" s="345"/>
      <c r="E170" s="345"/>
      <c r="F170" s="132"/>
      <c r="G170" s="132"/>
      <c r="H170" s="132"/>
      <c r="I170" s="132"/>
      <c r="J170" s="71"/>
      <c r="K170" s="291"/>
      <c r="L170" s="132"/>
      <c r="M170" s="71"/>
      <c r="N170" s="71"/>
      <c r="O170" s="71"/>
      <c r="P170" s="71"/>
      <c r="Q170" s="71"/>
      <c r="R170" s="71"/>
      <c r="S170" s="71"/>
      <c r="T170" s="71"/>
      <c r="U170" s="71"/>
      <c r="V170" s="71"/>
      <c r="W170" s="71"/>
      <c r="X170" s="71"/>
      <c r="Y170" s="71"/>
      <c r="Z170" s="71"/>
    </row>
    <row r="171" spans="1:26">
      <c r="A171" s="132"/>
      <c r="B171" s="132"/>
      <c r="C171" s="132"/>
      <c r="D171" s="345"/>
      <c r="E171" s="132"/>
      <c r="F171" s="132"/>
      <c r="G171" s="132"/>
      <c r="H171" s="132"/>
      <c r="I171" s="132"/>
      <c r="J171" s="71"/>
      <c r="K171" s="347"/>
      <c r="L171" s="132"/>
      <c r="M171" s="71"/>
      <c r="N171" s="71"/>
      <c r="O171" s="71"/>
      <c r="P171" s="71"/>
      <c r="Q171" s="71"/>
      <c r="R171" s="71"/>
      <c r="S171" s="71"/>
      <c r="T171" s="71"/>
      <c r="U171" s="71"/>
      <c r="V171" s="71"/>
      <c r="W171" s="71"/>
      <c r="X171" s="71"/>
      <c r="Y171" s="71"/>
      <c r="Z171" s="71"/>
    </row>
    <row r="172" spans="1:26">
      <c r="A172" s="132"/>
      <c r="B172" s="132"/>
      <c r="C172" s="132"/>
      <c r="D172" s="345"/>
      <c r="E172" s="345"/>
      <c r="F172" s="132"/>
      <c r="G172" s="132"/>
      <c r="H172" s="132"/>
      <c r="I172" s="132"/>
      <c r="J172" s="71"/>
      <c r="K172" s="291"/>
      <c r="L172" s="132"/>
      <c r="M172" s="71"/>
      <c r="N172" s="71"/>
      <c r="O172" s="71"/>
      <c r="P172" s="71"/>
      <c r="Q172" s="71"/>
      <c r="R172" s="71"/>
      <c r="S172" s="71"/>
      <c r="T172" s="71"/>
      <c r="U172" s="71"/>
      <c r="V172" s="71"/>
      <c r="W172" s="71"/>
      <c r="X172" s="71"/>
      <c r="Y172" s="71"/>
      <c r="Z172" s="71"/>
    </row>
    <row r="173" spans="1:26">
      <c r="A173" s="132"/>
      <c r="B173" s="132"/>
      <c r="C173" s="132"/>
      <c r="D173" s="345"/>
      <c r="E173" s="132"/>
      <c r="F173" s="132"/>
      <c r="G173" s="132"/>
      <c r="H173" s="132"/>
      <c r="I173" s="132"/>
      <c r="J173" s="71"/>
      <c r="K173" s="347"/>
      <c r="L173" s="132"/>
      <c r="M173" s="71"/>
      <c r="N173" s="71"/>
      <c r="O173" s="71"/>
      <c r="P173" s="71"/>
      <c r="Q173" s="71"/>
      <c r="R173" s="71"/>
      <c r="S173" s="71"/>
      <c r="T173" s="71"/>
      <c r="U173" s="71"/>
      <c r="V173" s="71"/>
      <c r="W173" s="71"/>
      <c r="X173" s="71"/>
      <c r="Y173" s="71"/>
      <c r="Z173" s="71"/>
    </row>
    <row r="174" spans="1:26">
      <c r="A174" s="132"/>
      <c r="B174" s="132"/>
      <c r="C174" s="132"/>
      <c r="D174" s="345"/>
      <c r="E174" s="345"/>
      <c r="F174" s="132"/>
      <c r="G174" s="132"/>
      <c r="H174" s="132"/>
      <c r="I174" s="132"/>
      <c r="J174" s="71"/>
      <c r="K174" s="291"/>
      <c r="L174" s="132"/>
      <c r="M174" s="71"/>
      <c r="N174" s="71"/>
      <c r="O174" s="71"/>
      <c r="P174" s="71"/>
      <c r="Q174" s="71"/>
      <c r="R174" s="71"/>
      <c r="S174" s="71"/>
      <c r="T174" s="71"/>
      <c r="U174" s="71"/>
      <c r="V174" s="71"/>
      <c r="W174" s="71"/>
      <c r="X174" s="71"/>
      <c r="Y174" s="71"/>
      <c r="Z174" s="71"/>
    </row>
    <row r="175" spans="1:26">
      <c r="A175" s="132"/>
      <c r="B175" s="132"/>
      <c r="C175" s="132"/>
      <c r="D175" s="345"/>
      <c r="E175" s="132"/>
      <c r="F175" s="132"/>
      <c r="G175" s="132"/>
      <c r="H175" s="132"/>
      <c r="I175" s="132"/>
      <c r="J175" s="71"/>
      <c r="K175" s="347"/>
      <c r="L175" s="132"/>
      <c r="M175" s="71"/>
      <c r="N175" s="71"/>
      <c r="O175" s="71"/>
      <c r="P175" s="71"/>
      <c r="Q175" s="71"/>
      <c r="R175" s="71"/>
      <c r="S175" s="71"/>
      <c r="T175" s="71"/>
      <c r="U175" s="71"/>
      <c r="V175" s="71"/>
      <c r="W175" s="71"/>
      <c r="X175" s="71"/>
      <c r="Y175" s="71"/>
      <c r="Z175" s="71"/>
    </row>
    <row r="176" spans="1:26">
      <c r="A176" s="132"/>
      <c r="B176" s="132"/>
      <c r="C176" s="132"/>
      <c r="D176" s="345"/>
      <c r="E176" s="132"/>
      <c r="F176" s="132"/>
      <c r="G176" s="132"/>
      <c r="H176" s="132"/>
      <c r="I176" s="132"/>
      <c r="J176" s="71"/>
      <c r="K176" s="347"/>
      <c r="L176" s="132"/>
      <c r="M176" s="71"/>
      <c r="N176" s="71"/>
      <c r="O176" s="71"/>
      <c r="P176" s="71"/>
      <c r="Q176" s="71"/>
      <c r="R176" s="71"/>
      <c r="S176" s="71"/>
      <c r="T176" s="71"/>
      <c r="U176" s="71"/>
      <c r="V176" s="71"/>
      <c r="W176" s="71"/>
      <c r="X176" s="71"/>
      <c r="Y176" s="71"/>
      <c r="Z176" s="71"/>
    </row>
    <row r="177" spans="1:26">
      <c r="A177" s="132"/>
      <c r="B177" s="132"/>
      <c r="C177" s="132"/>
      <c r="D177" s="345"/>
      <c r="E177" s="345"/>
      <c r="F177" s="132"/>
      <c r="G177" s="132"/>
      <c r="H177" s="132"/>
      <c r="I177" s="132"/>
      <c r="J177" s="71"/>
      <c r="K177" s="291"/>
      <c r="L177" s="132"/>
      <c r="M177" s="71"/>
      <c r="N177" s="71"/>
      <c r="O177" s="71"/>
      <c r="P177" s="71"/>
      <c r="Q177" s="71"/>
      <c r="R177" s="71"/>
      <c r="S177" s="71"/>
      <c r="T177" s="71"/>
      <c r="U177" s="71"/>
      <c r="V177" s="71"/>
      <c r="W177" s="71"/>
      <c r="X177" s="71"/>
      <c r="Y177" s="71"/>
      <c r="Z177" s="71"/>
    </row>
    <row r="178" spans="1:26">
      <c r="A178" s="132"/>
      <c r="B178" s="132"/>
      <c r="C178" s="132"/>
      <c r="D178" s="345"/>
      <c r="E178" s="345"/>
      <c r="F178" s="132"/>
      <c r="G178" s="132"/>
      <c r="H178" s="132"/>
      <c r="I178" s="132"/>
      <c r="J178" s="71"/>
      <c r="K178" s="291"/>
      <c r="L178" s="132"/>
      <c r="M178" s="71"/>
      <c r="N178" s="71"/>
      <c r="O178" s="71"/>
      <c r="P178" s="71"/>
      <c r="Q178" s="71"/>
      <c r="R178" s="71"/>
      <c r="S178" s="71"/>
      <c r="T178" s="71"/>
      <c r="U178" s="71"/>
      <c r="V178" s="71"/>
      <c r="W178" s="71"/>
      <c r="X178" s="71"/>
      <c r="Y178" s="71"/>
      <c r="Z178" s="71"/>
    </row>
    <row r="179" spans="1:26">
      <c r="A179" s="132"/>
      <c r="B179" s="132"/>
      <c r="C179" s="132"/>
      <c r="D179" s="345"/>
      <c r="E179" s="345"/>
      <c r="F179" s="132"/>
      <c r="G179" s="132"/>
      <c r="H179" s="132"/>
      <c r="I179" s="132"/>
      <c r="J179" s="71"/>
      <c r="K179" s="291"/>
      <c r="L179" s="132"/>
      <c r="M179" s="71"/>
      <c r="N179" s="71"/>
      <c r="O179" s="71"/>
      <c r="P179" s="71"/>
      <c r="Q179" s="71"/>
      <c r="R179" s="71"/>
      <c r="S179" s="71"/>
      <c r="T179" s="71"/>
      <c r="U179" s="71"/>
      <c r="V179" s="71"/>
      <c r="W179" s="71"/>
      <c r="X179" s="71"/>
      <c r="Y179" s="71"/>
      <c r="Z179" s="71"/>
    </row>
    <row r="180" spans="1:26">
      <c r="A180" s="132"/>
      <c r="B180" s="132"/>
      <c r="C180" s="132"/>
      <c r="D180" s="345"/>
      <c r="E180" s="132"/>
      <c r="F180" s="132"/>
      <c r="G180" s="132"/>
      <c r="H180" s="132"/>
      <c r="I180" s="132"/>
      <c r="J180" s="71"/>
      <c r="K180" s="347"/>
      <c r="L180" s="132"/>
      <c r="M180" s="71"/>
      <c r="N180" s="71"/>
      <c r="O180" s="71"/>
      <c r="P180" s="71"/>
      <c r="Q180" s="71"/>
      <c r="R180" s="71"/>
      <c r="S180" s="71"/>
      <c r="T180" s="71"/>
      <c r="U180" s="71"/>
      <c r="V180" s="71"/>
      <c r="W180" s="71"/>
      <c r="X180" s="71"/>
      <c r="Y180" s="71"/>
      <c r="Z180" s="71"/>
    </row>
    <row r="181" spans="1:26">
      <c r="A181" s="132"/>
      <c r="B181" s="132"/>
      <c r="C181" s="132"/>
      <c r="D181" s="345"/>
      <c r="E181" s="132"/>
      <c r="F181" s="132"/>
      <c r="G181" s="132"/>
      <c r="H181" s="132"/>
      <c r="I181" s="132"/>
      <c r="J181" s="71"/>
      <c r="K181" s="347"/>
      <c r="L181" s="132"/>
      <c r="M181" s="71"/>
      <c r="N181" s="71"/>
      <c r="O181" s="71"/>
      <c r="P181" s="71"/>
      <c r="Q181" s="71"/>
      <c r="R181" s="71"/>
      <c r="S181" s="71"/>
      <c r="T181" s="71"/>
      <c r="U181" s="71"/>
      <c r="V181" s="71"/>
      <c r="W181" s="71"/>
      <c r="X181" s="71"/>
      <c r="Y181" s="71"/>
      <c r="Z181" s="71"/>
    </row>
    <row r="182" spans="1:26">
      <c r="A182" s="132"/>
      <c r="B182" s="132"/>
      <c r="C182" s="132"/>
      <c r="D182" s="345"/>
      <c r="E182" s="345"/>
      <c r="F182" s="132"/>
      <c r="G182" s="132"/>
      <c r="H182" s="132"/>
      <c r="I182" s="132"/>
      <c r="J182" s="71"/>
      <c r="K182" s="291"/>
      <c r="L182" s="132"/>
      <c r="M182" s="71"/>
      <c r="N182" s="71"/>
      <c r="O182" s="71"/>
      <c r="P182" s="71"/>
      <c r="Q182" s="71"/>
      <c r="R182" s="71"/>
      <c r="S182" s="71"/>
      <c r="T182" s="71"/>
      <c r="U182" s="71"/>
      <c r="V182" s="71"/>
      <c r="W182" s="71"/>
      <c r="X182" s="71"/>
      <c r="Y182" s="71"/>
      <c r="Z182" s="71"/>
    </row>
    <row r="183" spans="1:26">
      <c r="A183" s="132"/>
      <c r="B183" s="132"/>
      <c r="C183" s="132"/>
      <c r="D183" s="345"/>
      <c r="E183" s="345"/>
      <c r="F183" s="132"/>
      <c r="G183" s="132"/>
      <c r="H183" s="132"/>
      <c r="I183" s="132"/>
      <c r="J183" s="71"/>
      <c r="K183" s="291"/>
      <c r="L183" s="132"/>
      <c r="M183" s="71"/>
      <c r="N183" s="71"/>
      <c r="O183" s="71"/>
      <c r="P183" s="71"/>
      <c r="Q183" s="71"/>
      <c r="R183" s="71"/>
      <c r="S183" s="71"/>
      <c r="T183" s="71"/>
      <c r="U183" s="71"/>
      <c r="V183" s="71"/>
      <c r="W183" s="71"/>
      <c r="X183" s="71"/>
      <c r="Y183" s="71"/>
      <c r="Z183" s="71"/>
    </row>
    <row r="184" spans="1:26">
      <c r="A184" s="132"/>
      <c r="B184" s="132"/>
      <c r="C184" s="132"/>
      <c r="D184" s="345"/>
      <c r="E184" s="132"/>
      <c r="F184" s="132"/>
      <c r="G184" s="132"/>
      <c r="H184" s="132"/>
      <c r="I184" s="132"/>
      <c r="J184" s="71"/>
      <c r="K184" s="347"/>
      <c r="L184" s="132"/>
      <c r="M184" s="71"/>
      <c r="N184" s="71"/>
      <c r="O184" s="71"/>
      <c r="P184" s="71"/>
      <c r="Q184" s="71"/>
      <c r="R184" s="71"/>
      <c r="S184" s="71"/>
      <c r="T184" s="71"/>
      <c r="U184" s="71"/>
      <c r="V184" s="71"/>
      <c r="W184" s="71"/>
      <c r="X184" s="71"/>
      <c r="Y184" s="71"/>
      <c r="Z184" s="71"/>
    </row>
    <row r="185" spans="1:26">
      <c r="A185" s="71"/>
      <c r="B185" s="71"/>
      <c r="C185" s="132"/>
      <c r="D185" s="71"/>
      <c r="E185" s="71"/>
      <c r="F185" s="71"/>
      <c r="G185" s="71"/>
      <c r="H185" s="71"/>
      <c r="I185" s="71"/>
      <c r="J185" s="71"/>
      <c r="K185" s="71"/>
      <c r="L185" s="71"/>
      <c r="M185" s="71"/>
      <c r="N185" s="71"/>
      <c r="O185" s="71"/>
      <c r="P185" s="71"/>
      <c r="Q185" s="71"/>
      <c r="R185" s="71"/>
      <c r="S185" s="71"/>
      <c r="T185" s="71"/>
      <c r="U185" s="71"/>
      <c r="V185" s="71"/>
      <c r="W185" s="71"/>
      <c r="X185" s="71"/>
      <c r="Y185" s="71"/>
      <c r="Z185" s="71"/>
    </row>
    <row r="186" spans="1:26">
      <c r="A186" s="71"/>
      <c r="B186" s="71"/>
      <c r="C186" s="132"/>
      <c r="D186" s="71"/>
      <c r="E186" s="71"/>
      <c r="F186" s="71"/>
      <c r="G186" s="71"/>
      <c r="H186" s="71"/>
      <c r="I186" s="71"/>
      <c r="J186" s="71"/>
      <c r="K186" s="71"/>
      <c r="L186" s="71"/>
      <c r="M186" s="71"/>
      <c r="N186" s="71"/>
      <c r="O186" s="71"/>
      <c r="P186" s="71"/>
      <c r="Q186" s="71"/>
      <c r="R186" s="71"/>
      <c r="S186" s="71"/>
      <c r="T186" s="71"/>
      <c r="U186" s="71"/>
      <c r="V186" s="71"/>
      <c r="W186" s="71"/>
      <c r="X186" s="71"/>
      <c r="Y186" s="71"/>
      <c r="Z186" s="71"/>
    </row>
    <row r="187" spans="1:26">
      <c r="A187" s="71"/>
      <c r="B187" s="71"/>
      <c r="C187" s="132"/>
      <c r="D187" s="71"/>
      <c r="E187" s="71"/>
      <c r="F187" s="71"/>
      <c r="G187" s="71"/>
      <c r="H187" s="71"/>
      <c r="I187" s="71"/>
      <c r="J187" s="71"/>
      <c r="K187" s="71"/>
      <c r="L187" s="71"/>
      <c r="M187" s="71"/>
      <c r="N187" s="71"/>
      <c r="O187" s="71"/>
      <c r="P187" s="71"/>
      <c r="Q187" s="71"/>
      <c r="R187" s="71"/>
      <c r="S187" s="71"/>
      <c r="T187" s="71"/>
      <c r="U187" s="71"/>
      <c r="V187" s="71"/>
      <c r="W187" s="71"/>
      <c r="X187" s="71"/>
      <c r="Y187" s="71"/>
      <c r="Z187" s="71"/>
    </row>
    <row r="188" spans="1:26">
      <c r="A188" s="71"/>
      <c r="B188" s="71"/>
      <c r="C188" s="132"/>
      <c r="D188" s="71"/>
      <c r="E188" s="71"/>
      <c r="F188" s="71"/>
      <c r="G188" s="71"/>
      <c r="H188" s="71"/>
      <c r="I188" s="71"/>
      <c r="J188" s="71"/>
      <c r="K188" s="71"/>
      <c r="L188" s="71"/>
      <c r="M188" s="71"/>
      <c r="N188" s="71"/>
      <c r="O188" s="71"/>
      <c r="P188" s="71"/>
      <c r="Q188" s="71"/>
      <c r="R188" s="71"/>
      <c r="S188" s="71"/>
      <c r="T188" s="71"/>
      <c r="U188" s="71"/>
      <c r="V188" s="71"/>
      <c r="W188" s="71"/>
      <c r="X188" s="71"/>
      <c r="Y188" s="71"/>
      <c r="Z188" s="71"/>
    </row>
    <row r="189" spans="1:26">
      <c r="A189" s="71"/>
      <c r="B189" s="71"/>
      <c r="C189" s="132"/>
      <c r="D189" s="71"/>
      <c r="E189" s="71"/>
      <c r="F189" s="71"/>
      <c r="G189" s="71"/>
      <c r="H189" s="71"/>
      <c r="I189" s="71"/>
      <c r="J189" s="71"/>
      <c r="K189" s="71"/>
      <c r="L189" s="71"/>
      <c r="M189" s="71"/>
      <c r="N189" s="71"/>
      <c r="O189" s="71"/>
      <c r="P189" s="71"/>
      <c r="Q189" s="71"/>
      <c r="R189" s="71"/>
      <c r="S189" s="71"/>
      <c r="T189" s="71"/>
      <c r="U189" s="71"/>
      <c r="V189" s="71"/>
      <c r="W189" s="71"/>
      <c r="X189" s="71"/>
      <c r="Y189" s="71"/>
      <c r="Z189" s="71"/>
    </row>
    <row r="190" spans="1:26">
      <c r="A190" s="71"/>
      <c r="B190" s="71"/>
      <c r="C190" s="132"/>
      <c r="D190" s="71"/>
      <c r="E190" s="71"/>
      <c r="F190" s="71"/>
      <c r="G190" s="71"/>
      <c r="H190" s="71"/>
      <c r="I190" s="71"/>
      <c r="J190" s="71"/>
      <c r="K190" s="71"/>
      <c r="L190" s="71"/>
      <c r="M190" s="71"/>
      <c r="N190" s="71"/>
      <c r="O190" s="71"/>
      <c r="P190" s="71"/>
      <c r="Q190" s="71"/>
      <c r="R190" s="71"/>
      <c r="S190" s="71"/>
      <c r="T190" s="71"/>
      <c r="U190" s="71"/>
      <c r="V190" s="71"/>
      <c r="W190" s="71"/>
      <c r="X190" s="71"/>
      <c r="Y190" s="71"/>
      <c r="Z190" s="71"/>
    </row>
    <row r="191" spans="1:26">
      <c r="A191" s="71"/>
      <c r="B191" s="71"/>
      <c r="C191" s="132"/>
      <c r="D191" s="71"/>
      <c r="E191" s="71"/>
      <c r="F191" s="71"/>
      <c r="G191" s="71"/>
      <c r="H191" s="71"/>
      <c r="I191" s="71"/>
      <c r="J191" s="71"/>
      <c r="K191" s="71"/>
      <c r="L191" s="71"/>
      <c r="M191" s="71"/>
      <c r="N191" s="71"/>
      <c r="O191" s="71"/>
      <c r="P191" s="71"/>
      <c r="Q191" s="71"/>
      <c r="R191" s="71"/>
      <c r="S191" s="71"/>
      <c r="T191" s="71"/>
      <c r="U191" s="71"/>
      <c r="V191" s="71"/>
      <c r="W191" s="71"/>
      <c r="X191" s="71"/>
      <c r="Y191" s="71"/>
      <c r="Z191" s="71"/>
    </row>
    <row r="192" spans="1:26">
      <c r="A192" s="71"/>
      <c r="B192" s="71"/>
      <c r="C192" s="132"/>
      <c r="D192" s="71"/>
      <c r="E192" s="71"/>
      <c r="F192" s="71"/>
      <c r="G192" s="71"/>
      <c r="H192" s="71"/>
      <c r="I192" s="71"/>
      <c r="J192" s="71"/>
      <c r="K192" s="71"/>
      <c r="L192" s="71"/>
      <c r="M192" s="71"/>
      <c r="N192" s="71"/>
      <c r="O192" s="71"/>
      <c r="P192" s="71"/>
      <c r="Q192" s="71"/>
      <c r="R192" s="71"/>
      <c r="S192" s="71"/>
      <c r="T192" s="71"/>
      <c r="U192" s="71"/>
      <c r="V192" s="71"/>
      <c r="W192" s="71"/>
      <c r="X192" s="71"/>
      <c r="Y192" s="71"/>
      <c r="Z192" s="71"/>
    </row>
    <row r="193" spans="1:26">
      <c r="A193" s="71"/>
      <c r="B193" s="71"/>
      <c r="C193" s="132"/>
      <c r="D193" s="71"/>
      <c r="E193" s="71"/>
      <c r="F193" s="71"/>
      <c r="G193" s="71"/>
      <c r="H193" s="71"/>
      <c r="I193" s="71"/>
      <c r="J193" s="71"/>
      <c r="K193" s="71"/>
      <c r="L193" s="71"/>
      <c r="M193" s="71"/>
      <c r="N193" s="71"/>
      <c r="O193" s="71"/>
      <c r="P193" s="71"/>
      <c r="Q193" s="71"/>
      <c r="R193" s="71"/>
      <c r="S193" s="71"/>
      <c r="T193" s="71"/>
      <c r="U193" s="71"/>
      <c r="V193" s="71"/>
      <c r="W193" s="71"/>
      <c r="X193" s="71"/>
      <c r="Y193" s="71"/>
      <c r="Z193" s="71"/>
    </row>
    <row r="194" spans="1:26">
      <c r="A194" s="71"/>
      <c r="B194" s="71"/>
      <c r="C194" s="132"/>
      <c r="D194" s="71"/>
      <c r="E194" s="71"/>
      <c r="F194" s="71"/>
      <c r="G194" s="71"/>
      <c r="H194" s="71"/>
      <c r="I194" s="71"/>
      <c r="J194" s="71"/>
      <c r="K194" s="71"/>
      <c r="L194" s="71"/>
      <c r="M194" s="71"/>
      <c r="N194" s="71"/>
      <c r="O194" s="71"/>
      <c r="P194" s="71"/>
      <c r="Q194" s="71"/>
      <c r="R194" s="71"/>
      <c r="S194" s="71"/>
      <c r="T194" s="71"/>
      <c r="U194" s="71"/>
      <c r="V194" s="71"/>
      <c r="W194" s="71"/>
      <c r="X194" s="71"/>
      <c r="Y194" s="71"/>
      <c r="Z194" s="71"/>
    </row>
    <row r="195" spans="1:26">
      <c r="A195" s="71"/>
      <c r="B195" s="71"/>
      <c r="C195" s="132"/>
      <c r="D195" s="71"/>
      <c r="E195" s="71"/>
      <c r="F195" s="71"/>
      <c r="G195" s="71"/>
      <c r="H195" s="71"/>
      <c r="I195" s="71"/>
      <c r="J195" s="71"/>
      <c r="K195" s="71"/>
      <c r="L195" s="71"/>
      <c r="M195" s="71"/>
      <c r="N195" s="71"/>
      <c r="O195" s="71"/>
      <c r="P195" s="71"/>
      <c r="Q195" s="71"/>
      <c r="R195" s="71"/>
      <c r="S195" s="71"/>
      <c r="T195" s="71"/>
      <c r="U195" s="71"/>
      <c r="V195" s="71"/>
      <c r="W195" s="71"/>
      <c r="X195" s="71"/>
      <c r="Y195" s="71"/>
      <c r="Z195" s="71"/>
    </row>
    <row r="196" spans="1:26">
      <c r="A196" s="71"/>
      <c r="B196" s="71"/>
      <c r="C196" s="132"/>
      <c r="D196" s="71"/>
      <c r="E196" s="71"/>
      <c r="F196" s="71"/>
      <c r="G196" s="71"/>
      <c r="H196" s="71"/>
      <c r="I196" s="71"/>
      <c r="J196" s="71"/>
      <c r="K196" s="71"/>
      <c r="L196" s="71"/>
      <c r="M196" s="71"/>
      <c r="N196" s="71"/>
      <c r="O196" s="71"/>
      <c r="P196" s="71"/>
      <c r="Q196" s="71"/>
      <c r="R196" s="71"/>
      <c r="S196" s="71"/>
      <c r="T196" s="71"/>
      <c r="U196" s="71"/>
      <c r="V196" s="71"/>
      <c r="W196" s="71"/>
      <c r="X196" s="71"/>
      <c r="Y196" s="71"/>
      <c r="Z196" s="71"/>
    </row>
    <row r="197" spans="1:26">
      <c r="A197" s="71"/>
      <c r="B197" s="71"/>
      <c r="C197" s="132"/>
      <c r="D197" s="71"/>
      <c r="E197" s="71"/>
      <c r="F197" s="71"/>
      <c r="G197" s="71"/>
      <c r="H197" s="71"/>
      <c r="I197" s="71"/>
      <c r="J197" s="71"/>
      <c r="K197" s="71"/>
      <c r="L197" s="71"/>
      <c r="M197" s="71"/>
      <c r="N197" s="71"/>
      <c r="O197" s="71"/>
      <c r="P197" s="71"/>
      <c r="Q197" s="71"/>
      <c r="R197" s="71"/>
      <c r="S197" s="71"/>
      <c r="T197" s="71"/>
      <c r="U197" s="71"/>
      <c r="V197" s="71"/>
      <c r="W197" s="71"/>
      <c r="X197" s="71"/>
      <c r="Y197" s="71"/>
      <c r="Z197" s="71"/>
    </row>
    <row r="198" spans="1:26">
      <c r="A198" s="71"/>
      <c r="B198" s="71"/>
      <c r="C198" s="132"/>
      <c r="D198" s="71"/>
      <c r="E198" s="71"/>
      <c r="F198" s="71"/>
      <c r="G198" s="71"/>
      <c r="H198" s="71"/>
      <c r="I198" s="71"/>
      <c r="J198" s="71"/>
      <c r="K198" s="71"/>
      <c r="L198" s="71"/>
      <c r="M198" s="71"/>
      <c r="N198" s="71"/>
      <c r="O198" s="71"/>
      <c r="P198" s="71"/>
      <c r="Q198" s="71"/>
      <c r="R198" s="71"/>
      <c r="S198" s="71"/>
      <c r="T198" s="71"/>
      <c r="U198" s="71"/>
      <c r="V198" s="71"/>
      <c r="W198" s="71"/>
      <c r="X198" s="71"/>
      <c r="Y198" s="71"/>
      <c r="Z198" s="71"/>
    </row>
    <row r="199" spans="1:26">
      <c r="A199" s="71"/>
      <c r="B199" s="71"/>
      <c r="C199" s="132"/>
      <c r="D199" s="71"/>
      <c r="E199" s="71"/>
      <c r="F199" s="71"/>
      <c r="G199" s="71"/>
      <c r="H199" s="71"/>
      <c r="I199" s="71"/>
      <c r="J199" s="71"/>
      <c r="K199" s="71"/>
      <c r="L199" s="71"/>
      <c r="M199" s="71"/>
      <c r="N199" s="71"/>
      <c r="O199" s="71"/>
      <c r="P199" s="71"/>
      <c r="Q199" s="71"/>
      <c r="R199" s="71"/>
      <c r="S199" s="71"/>
      <c r="T199" s="71"/>
      <c r="U199" s="71"/>
      <c r="V199" s="71"/>
      <c r="W199" s="71"/>
      <c r="X199" s="71"/>
      <c r="Y199" s="71"/>
      <c r="Z199" s="71"/>
    </row>
    <row r="200" spans="1:26">
      <c r="A200" s="71"/>
      <c r="B200" s="71"/>
      <c r="C200" s="132"/>
      <c r="D200" s="71"/>
      <c r="E200" s="71"/>
      <c r="F200" s="71"/>
      <c r="G200" s="71"/>
      <c r="H200" s="71"/>
      <c r="I200" s="71"/>
      <c r="J200" s="71"/>
      <c r="K200" s="71"/>
      <c r="L200" s="71"/>
      <c r="M200" s="71"/>
      <c r="N200" s="71"/>
      <c r="O200" s="71"/>
      <c r="P200" s="71"/>
      <c r="Q200" s="71"/>
      <c r="R200" s="71"/>
      <c r="S200" s="71"/>
      <c r="T200" s="71"/>
      <c r="U200" s="71"/>
      <c r="V200" s="71"/>
      <c r="W200" s="71"/>
      <c r="X200" s="71"/>
      <c r="Y200" s="71"/>
      <c r="Z200" s="71"/>
    </row>
    <row r="201" spans="1:26">
      <c r="A201" s="71"/>
      <c r="B201" s="71"/>
      <c r="C201" s="132"/>
      <c r="D201" s="71"/>
      <c r="E201" s="71"/>
      <c r="F201" s="71"/>
      <c r="G201" s="71"/>
      <c r="H201" s="71"/>
      <c r="I201" s="71"/>
      <c r="J201" s="71"/>
      <c r="K201" s="71"/>
      <c r="L201" s="71"/>
      <c r="M201" s="71"/>
      <c r="N201" s="71"/>
      <c r="O201" s="71"/>
      <c r="P201" s="71"/>
      <c r="Q201" s="71"/>
      <c r="R201" s="71"/>
      <c r="S201" s="71"/>
      <c r="T201" s="71"/>
      <c r="U201" s="71"/>
      <c r="V201" s="71"/>
      <c r="W201" s="71"/>
      <c r="X201" s="71"/>
      <c r="Y201" s="71"/>
      <c r="Z201" s="71"/>
    </row>
    <row r="202" spans="1:26">
      <c r="A202" s="71"/>
      <c r="B202" s="71"/>
      <c r="C202" s="132"/>
      <c r="D202" s="71"/>
      <c r="E202" s="71"/>
      <c r="F202" s="71"/>
      <c r="G202" s="71"/>
      <c r="H202" s="71"/>
      <c r="I202" s="71"/>
      <c r="J202" s="71"/>
      <c r="K202" s="71"/>
      <c r="L202" s="71"/>
      <c r="M202" s="71"/>
      <c r="N202" s="71"/>
      <c r="O202" s="71"/>
      <c r="P202" s="71"/>
      <c r="Q202" s="71"/>
      <c r="R202" s="71"/>
      <c r="S202" s="71"/>
      <c r="T202" s="71"/>
      <c r="U202" s="71"/>
      <c r="V202" s="71"/>
      <c r="W202" s="71"/>
      <c r="X202" s="71"/>
      <c r="Y202" s="71"/>
      <c r="Z202" s="71"/>
    </row>
    <row r="203" spans="1:26">
      <c r="A203" s="71"/>
      <c r="B203" s="71"/>
      <c r="C203" s="132"/>
      <c r="D203" s="71"/>
      <c r="E203" s="71"/>
      <c r="F203" s="71"/>
      <c r="G203" s="71"/>
      <c r="H203" s="71"/>
      <c r="I203" s="71"/>
      <c r="J203" s="71"/>
      <c r="K203" s="71"/>
      <c r="L203" s="71"/>
      <c r="M203" s="71"/>
      <c r="N203" s="71"/>
      <c r="O203" s="71"/>
      <c r="P203" s="71"/>
      <c r="Q203" s="71"/>
      <c r="R203" s="71"/>
      <c r="S203" s="71"/>
      <c r="T203" s="71"/>
      <c r="U203" s="71"/>
      <c r="V203" s="71"/>
      <c r="W203" s="71"/>
      <c r="X203" s="71"/>
      <c r="Y203" s="71"/>
      <c r="Z203" s="71"/>
    </row>
    <row r="204" spans="1:26">
      <c r="A204" s="71"/>
      <c r="B204" s="71"/>
      <c r="C204" s="132"/>
      <c r="D204" s="71"/>
      <c r="E204" s="71"/>
      <c r="F204" s="71"/>
      <c r="G204" s="71"/>
      <c r="H204" s="71"/>
      <c r="I204" s="71"/>
      <c r="J204" s="71"/>
      <c r="K204" s="71"/>
      <c r="L204" s="71"/>
      <c r="M204" s="71"/>
      <c r="N204" s="71"/>
      <c r="O204" s="71"/>
      <c r="P204" s="71"/>
      <c r="Q204" s="71"/>
      <c r="R204" s="71"/>
      <c r="S204" s="71"/>
      <c r="T204" s="71"/>
      <c r="U204" s="71"/>
      <c r="V204" s="71"/>
      <c r="W204" s="71"/>
      <c r="X204" s="71"/>
      <c r="Y204" s="71"/>
      <c r="Z204" s="71"/>
    </row>
    <row r="205" spans="1:26">
      <c r="A205" s="71"/>
      <c r="B205" s="71"/>
      <c r="C205" s="132"/>
      <c r="D205" s="71"/>
      <c r="E205" s="71"/>
      <c r="F205" s="71"/>
      <c r="G205" s="71"/>
      <c r="H205" s="71"/>
      <c r="I205" s="71"/>
      <c r="J205" s="71"/>
      <c r="K205" s="71"/>
      <c r="L205" s="71"/>
      <c r="M205" s="71"/>
      <c r="N205" s="71"/>
      <c r="O205" s="71"/>
      <c r="P205" s="71"/>
      <c r="Q205" s="71"/>
      <c r="R205" s="71"/>
      <c r="S205" s="71"/>
      <c r="T205" s="71"/>
      <c r="U205" s="71"/>
      <c r="V205" s="71"/>
      <c r="W205" s="71"/>
      <c r="X205" s="71"/>
      <c r="Y205" s="71"/>
      <c r="Z205" s="71"/>
    </row>
    <row r="206" spans="1:26">
      <c r="A206" s="71"/>
      <c r="B206" s="71"/>
      <c r="C206" s="132"/>
      <c r="D206" s="71"/>
      <c r="E206" s="71"/>
      <c r="F206" s="71"/>
      <c r="G206" s="71"/>
      <c r="H206" s="71"/>
      <c r="I206" s="71"/>
      <c r="J206" s="71"/>
      <c r="K206" s="71"/>
      <c r="L206" s="71"/>
      <c r="M206" s="71"/>
      <c r="N206" s="71"/>
      <c r="O206" s="71"/>
      <c r="P206" s="71"/>
      <c r="Q206" s="71"/>
      <c r="R206" s="71"/>
      <c r="S206" s="71"/>
      <c r="T206" s="71"/>
      <c r="U206" s="71"/>
      <c r="V206" s="71"/>
      <c r="W206" s="71"/>
      <c r="X206" s="71"/>
      <c r="Y206" s="71"/>
      <c r="Z206" s="71"/>
    </row>
    <row r="207" spans="1:26">
      <c r="A207" s="71"/>
      <c r="B207" s="71"/>
      <c r="C207" s="132"/>
      <c r="D207" s="71"/>
      <c r="E207" s="71"/>
      <c r="F207" s="71"/>
      <c r="G207" s="71"/>
      <c r="H207" s="71"/>
      <c r="I207" s="71"/>
      <c r="J207" s="71"/>
      <c r="K207" s="71"/>
      <c r="L207" s="71"/>
      <c r="M207" s="71"/>
      <c r="N207" s="71"/>
      <c r="O207" s="71"/>
      <c r="P207" s="71"/>
      <c r="Q207" s="71"/>
      <c r="R207" s="71"/>
      <c r="S207" s="71"/>
      <c r="T207" s="71"/>
      <c r="U207" s="71"/>
      <c r="V207" s="71"/>
      <c r="W207" s="71"/>
      <c r="X207" s="71"/>
      <c r="Y207" s="71"/>
      <c r="Z207" s="71"/>
    </row>
    <row r="208" spans="1:26">
      <c r="A208" s="71"/>
      <c r="B208" s="71"/>
      <c r="C208" s="132"/>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c r="A209" s="71"/>
      <c r="B209" s="71"/>
      <c r="C209" s="132"/>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c r="A210" s="71"/>
      <c r="B210" s="71"/>
      <c r="C210" s="132"/>
      <c r="D210" s="71"/>
      <c r="E210" s="71"/>
      <c r="F210" s="71"/>
      <c r="G210" s="71"/>
      <c r="H210" s="71"/>
      <c r="I210" s="71"/>
      <c r="J210" s="71"/>
      <c r="K210" s="71"/>
      <c r="L210" s="71"/>
      <c r="M210" s="71"/>
      <c r="N210" s="71"/>
      <c r="O210" s="71"/>
      <c r="P210" s="71"/>
      <c r="Q210" s="71"/>
      <c r="R210" s="71"/>
      <c r="S210" s="71"/>
      <c r="T210" s="71"/>
      <c r="U210" s="71"/>
      <c r="V210" s="71"/>
      <c r="W210" s="71"/>
      <c r="X210" s="71"/>
      <c r="Y210" s="71"/>
      <c r="Z210" s="71"/>
    </row>
    <row r="211" spans="1:26">
      <c r="A211" s="71"/>
      <c r="B211" s="71"/>
      <c r="C211" s="132"/>
      <c r="D211" s="71"/>
      <c r="E211" s="71"/>
      <c r="F211" s="71"/>
      <c r="G211" s="71"/>
      <c r="H211" s="71"/>
      <c r="I211" s="71"/>
      <c r="J211" s="71"/>
      <c r="K211" s="71"/>
      <c r="L211" s="71"/>
      <c r="M211" s="71"/>
      <c r="N211" s="71"/>
      <c r="O211" s="71"/>
      <c r="P211" s="71"/>
      <c r="Q211" s="71"/>
      <c r="R211" s="71"/>
      <c r="S211" s="71"/>
      <c r="T211" s="71"/>
      <c r="U211" s="71"/>
      <c r="V211" s="71"/>
      <c r="W211" s="71"/>
      <c r="X211" s="71"/>
      <c r="Y211" s="71"/>
      <c r="Z211" s="71"/>
    </row>
    <row r="212" spans="1:26">
      <c r="A212" s="71"/>
      <c r="B212" s="71"/>
      <c r="C212" s="132"/>
      <c r="D212" s="71"/>
      <c r="E212" s="71"/>
      <c r="F212" s="71"/>
      <c r="G212" s="71"/>
      <c r="H212" s="71"/>
      <c r="I212" s="71"/>
      <c r="J212" s="71"/>
      <c r="K212" s="71"/>
      <c r="L212" s="71"/>
      <c r="M212" s="71"/>
      <c r="N212" s="71"/>
      <c r="O212" s="71"/>
      <c r="P212" s="71"/>
      <c r="Q212" s="71"/>
      <c r="R212" s="71"/>
      <c r="S212" s="71"/>
      <c r="T212" s="71"/>
      <c r="U212" s="71"/>
      <c r="V212" s="71"/>
      <c r="W212" s="71"/>
      <c r="X212" s="71"/>
      <c r="Y212" s="71"/>
      <c r="Z212" s="71"/>
    </row>
    <row r="213" spans="1:26">
      <c r="A213" s="71"/>
      <c r="B213" s="71"/>
      <c r="C213" s="132"/>
      <c r="D213" s="71"/>
      <c r="E213" s="71"/>
      <c r="F213" s="71"/>
      <c r="G213" s="71"/>
      <c r="H213" s="71"/>
      <c r="I213" s="71"/>
      <c r="J213" s="71"/>
      <c r="K213" s="71"/>
      <c r="L213" s="71"/>
      <c r="M213" s="71"/>
      <c r="N213" s="71"/>
      <c r="O213" s="71"/>
      <c r="P213" s="71"/>
      <c r="Q213" s="71"/>
      <c r="R213" s="71"/>
      <c r="S213" s="71"/>
      <c r="T213" s="71"/>
      <c r="U213" s="71"/>
      <c r="V213" s="71"/>
      <c r="W213" s="71"/>
      <c r="X213" s="71"/>
      <c r="Y213" s="71"/>
      <c r="Z213" s="71"/>
    </row>
    <row r="214" spans="1:26">
      <c r="A214" s="71"/>
      <c r="B214" s="71"/>
      <c r="C214" s="132"/>
      <c r="D214" s="71"/>
      <c r="E214" s="71"/>
      <c r="F214" s="71"/>
      <c r="G214" s="71"/>
      <c r="H214" s="71"/>
      <c r="I214" s="71"/>
      <c r="J214" s="71"/>
      <c r="K214" s="71"/>
      <c r="L214" s="71"/>
      <c r="M214" s="71"/>
      <c r="N214" s="71"/>
      <c r="O214" s="71"/>
      <c r="P214" s="71"/>
      <c r="Q214" s="71"/>
      <c r="R214" s="71"/>
      <c r="S214" s="71"/>
      <c r="T214" s="71"/>
      <c r="U214" s="71"/>
      <c r="V214" s="71"/>
      <c r="W214" s="71"/>
      <c r="X214" s="71"/>
      <c r="Y214" s="71"/>
      <c r="Z214" s="71"/>
    </row>
    <row r="215" spans="1:26">
      <c r="A215" s="71"/>
      <c r="B215" s="71"/>
      <c r="C215" s="132"/>
      <c r="D215" s="71"/>
      <c r="E215" s="71"/>
      <c r="F215" s="71"/>
      <c r="G215" s="71"/>
      <c r="H215" s="71"/>
      <c r="I215" s="71"/>
      <c r="J215" s="71"/>
      <c r="K215" s="71"/>
      <c r="L215" s="71"/>
      <c r="M215" s="71"/>
      <c r="N215" s="71"/>
      <c r="O215" s="71"/>
      <c r="P215" s="71"/>
      <c r="Q215" s="71"/>
      <c r="R215" s="71"/>
      <c r="S215" s="71"/>
      <c r="T215" s="71"/>
      <c r="U215" s="71"/>
      <c r="V215" s="71"/>
      <c r="W215" s="71"/>
      <c r="X215" s="71"/>
      <c r="Y215" s="71"/>
      <c r="Z215" s="71"/>
    </row>
    <row r="216" spans="1:26">
      <c r="A216" s="71"/>
      <c r="B216" s="71"/>
      <c r="C216" s="132"/>
      <c r="D216" s="71"/>
      <c r="E216" s="71"/>
      <c r="F216" s="71"/>
      <c r="G216" s="71"/>
      <c r="H216" s="71"/>
      <c r="I216" s="71"/>
      <c r="J216" s="71"/>
      <c r="K216" s="71"/>
      <c r="L216" s="71"/>
      <c r="M216" s="71"/>
      <c r="N216" s="71"/>
      <c r="O216" s="71"/>
      <c r="P216" s="71"/>
      <c r="Q216" s="71"/>
      <c r="R216" s="71"/>
      <c r="S216" s="71"/>
      <c r="T216" s="71"/>
      <c r="U216" s="71"/>
      <c r="V216" s="71"/>
      <c r="W216" s="71"/>
      <c r="X216" s="71"/>
      <c r="Y216" s="71"/>
      <c r="Z216" s="71"/>
    </row>
    <row r="217" spans="1:26">
      <c r="A217" s="71"/>
      <c r="B217" s="71"/>
      <c r="C217" s="132"/>
      <c r="D217" s="71"/>
      <c r="E217" s="71"/>
      <c r="F217" s="71"/>
      <c r="G217" s="71"/>
      <c r="H217" s="71"/>
      <c r="I217" s="71"/>
      <c r="J217" s="71"/>
      <c r="K217" s="71"/>
      <c r="L217" s="71"/>
      <c r="M217" s="71"/>
      <c r="N217" s="71"/>
      <c r="O217" s="71"/>
      <c r="P217" s="71"/>
      <c r="Q217" s="71"/>
      <c r="R217" s="71"/>
      <c r="S217" s="71"/>
      <c r="T217" s="71"/>
      <c r="U217" s="71"/>
      <c r="V217" s="71"/>
      <c r="W217" s="71"/>
      <c r="X217" s="71"/>
      <c r="Y217" s="71"/>
      <c r="Z217" s="71"/>
    </row>
    <row r="218" spans="1:26">
      <c r="A218" s="71"/>
      <c r="B218" s="71"/>
      <c r="C218" s="132"/>
      <c r="D218" s="71"/>
      <c r="E218" s="71"/>
      <c r="F218" s="71"/>
      <c r="G218" s="71"/>
      <c r="H218" s="71"/>
      <c r="I218" s="71"/>
      <c r="J218" s="71"/>
      <c r="K218" s="71"/>
      <c r="L218" s="71"/>
      <c r="M218" s="71"/>
      <c r="N218" s="71"/>
      <c r="O218" s="71"/>
      <c r="P218" s="71"/>
      <c r="Q218" s="71"/>
      <c r="R218" s="71"/>
      <c r="S218" s="71"/>
      <c r="T218" s="71"/>
      <c r="U218" s="71"/>
      <c r="V218" s="71"/>
      <c r="W218" s="71"/>
      <c r="X218" s="71"/>
      <c r="Y218" s="71"/>
      <c r="Z218" s="71"/>
    </row>
    <row r="219" spans="1:26">
      <c r="C219" s="132"/>
    </row>
    <row r="220" spans="1:26">
      <c r="C220" s="132"/>
    </row>
    <row r="221" spans="1:26">
      <c r="C221" s="132"/>
    </row>
    <row r="222" spans="1:26">
      <c r="C222" s="132"/>
    </row>
    <row r="223" spans="1:26">
      <c r="C223" s="132"/>
    </row>
    <row r="224" spans="1:26">
      <c r="C224" s="132"/>
    </row>
    <row r="225" spans="3:3">
      <c r="C225" s="132"/>
    </row>
    <row r="226" spans="3:3">
      <c r="C226" s="132"/>
    </row>
    <row r="227" spans="3:3">
      <c r="C227" s="132"/>
    </row>
    <row r="228" spans="3:3">
      <c r="C228" s="132"/>
    </row>
  </sheetData>
  <sortState ref="AB2:AI2">
    <sortCondition ref="AB1"/>
  </sortState>
  <mergeCells count="15">
    <mergeCell ref="L13:P14"/>
    <mergeCell ref="AB3:AI3"/>
    <mergeCell ref="R14:S14"/>
    <mergeCell ref="T14:U14"/>
    <mergeCell ref="K6:K10"/>
    <mergeCell ref="K14:K33"/>
    <mergeCell ref="E128:E137"/>
    <mergeCell ref="E117:E126"/>
    <mergeCell ref="E73:E92"/>
    <mergeCell ref="E94:E113"/>
    <mergeCell ref="E2:E7"/>
    <mergeCell ref="E9:E28"/>
    <mergeCell ref="E30:E39"/>
    <mergeCell ref="E41:E50"/>
    <mergeCell ref="E52:E71"/>
  </mergeCells>
  <dataValidations count="3">
    <dataValidation type="list" allowBlank="1" showInputMessage="1" showErrorMessage="1" sqref="AF44:AF1048576 Q142 F141:F184">
      <formula1>ArmeGroupe</formula1>
    </dataValidation>
    <dataValidation type="list" allowBlank="1" showInputMessage="1" showErrorMessage="1" sqref="AG44:AI1048576 R142:T142 G141:I184">
      <formula1>ArmeAttribut</formula1>
    </dataValidation>
    <dataValidation type="list" allowBlank="1" showInputMessage="1" showErrorMessage="1" sqref="AK44:AK1048576 V142 K141:K184">
      <formula1>Disponibilité</formula1>
    </dataValidation>
  </dataValidations>
  <pageMargins left="0.7" right="0.7" top="0.75" bottom="0.75" header="0.3" footer="0.3"/>
  <pageSetup paperSize="9" orientation="portrait" r:id="rId1"/>
  <ignoredErrors>
    <ignoredError sqref="V8" formula="1"/>
  </ignoredErrors>
</worksheet>
</file>

<file path=xl/worksheets/sheet6.xml><?xml version="1.0" encoding="utf-8"?>
<worksheet xmlns="http://schemas.openxmlformats.org/spreadsheetml/2006/main" xmlns:r="http://schemas.openxmlformats.org/officeDocument/2006/relationships">
  <dimension ref="A1:CQ126"/>
  <sheetViews>
    <sheetView zoomScale="70" zoomScaleNormal="70" workbookViewId="0">
      <pane xSplit="1" topLeftCell="B1" activePane="topRight" state="frozen"/>
      <selection activeCell="B5" sqref="B5:H26"/>
      <selection pane="topRight" activeCell="D34" sqref="D34"/>
    </sheetView>
  </sheetViews>
  <sheetFormatPr baseColWidth="10" defaultColWidth="9.140625" defaultRowHeight="15" outlineLevelRow="1"/>
  <cols>
    <col min="1" max="1" width="9.140625" style="122"/>
    <col min="3" max="3" width="12" customWidth="1"/>
    <col min="4" max="4" width="9.140625" customWidth="1"/>
    <col min="5" max="5" width="20.5703125" style="185" customWidth="1"/>
    <col min="6" max="6" width="33.7109375" style="185" bestFit="1" customWidth="1"/>
    <col min="7" max="7" width="10" style="229" bestFit="1" customWidth="1"/>
    <col min="8" max="8" width="52.7109375" style="191" bestFit="1" customWidth="1"/>
    <col min="9" max="9" width="27.140625" style="82" bestFit="1" customWidth="1"/>
    <col min="10" max="10" width="25" style="185" bestFit="1" customWidth="1"/>
    <col min="11" max="11" width="10" style="183" bestFit="1" customWidth="1"/>
    <col min="12" max="12" width="52.7109375" style="191" bestFit="1" customWidth="1"/>
    <col min="13" max="13" width="27.140625" style="82" bestFit="1" customWidth="1"/>
    <col min="14" max="14" width="25" style="191" bestFit="1" customWidth="1"/>
    <col min="15" max="15" width="10" style="192" bestFit="1" customWidth="1"/>
    <col min="16" max="16" width="52.7109375" style="191" bestFit="1" customWidth="1"/>
    <col min="17" max="17" width="27.140625" style="82" bestFit="1" customWidth="1"/>
    <col min="18" max="18" width="25" style="191" bestFit="1" customWidth="1"/>
    <col min="19" max="19" width="10" style="192" bestFit="1" customWidth="1"/>
    <col min="20" max="20" width="52.7109375" style="191" bestFit="1" customWidth="1"/>
    <col min="21" max="21" width="27.140625" style="82" bestFit="1" customWidth="1"/>
    <col min="22" max="23" width="9.140625" style="191"/>
    <col min="24" max="26" width="9.140625" style="185"/>
    <col min="27" max="27" width="31.85546875" style="185" bestFit="1" customWidth="1"/>
    <col min="28" max="28" width="9.140625" style="229"/>
    <col min="29" max="29" width="6" style="229" bestFit="1" customWidth="1"/>
    <col min="30" max="30" width="20.5703125" style="237" customWidth="1"/>
    <col min="31" max="31" width="31.85546875" style="237" bestFit="1" customWidth="1"/>
    <col min="32" max="39" width="9.140625" style="237"/>
    <col min="40" max="40" width="4.85546875" style="237" bestFit="1" customWidth="1"/>
    <col min="41" max="41" width="7.42578125" style="237" customWidth="1"/>
    <col min="42" max="42" width="7.28515625" style="237" customWidth="1"/>
    <col min="43" max="43" width="6.85546875" style="237" customWidth="1"/>
    <col min="44" max="44" width="9.140625" style="237"/>
    <col min="45" max="16384" width="9.140625" style="185"/>
  </cols>
  <sheetData>
    <row r="1" spans="1:95" s="7" customFormat="1" ht="53.25" customHeight="1" thickBot="1">
      <c r="A1" s="164"/>
      <c r="E1" s="7" t="s">
        <v>97</v>
      </c>
      <c r="F1" s="221" t="str">
        <f>Race</f>
        <v>Humain</v>
      </c>
      <c r="G1" s="222" t="s">
        <v>516</v>
      </c>
      <c r="H1" s="223" t="s">
        <v>840</v>
      </c>
      <c r="I1" s="195"/>
      <c r="J1" s="221" t="str">
        <f>Carriere1</f>
        <v>marin</v>
      </c>
      <c r="K1" s="222" t="s">
        <v>516</v>
      </c>
      <c r="L1" s="223" t="s">
        <v>840</v>
      </c>
      <c r="M1" s="195"/>
      <c r="N1" s="221" t="str">
        <f>Carriere2</f>
        <v>valet</v>
      </c>
      <c r="O1" s="222" t="s">
        <v>516</v>
      </c>
      <c r="P1" s="223" t="s">
        <v>840</v>
      </c>
      <c r="Q1" s="195"/>
      <c r="R1" s="221" t="str">
        <f>Carriere3</f>
        <v>chiffonnier</v>
      </c>
      <c r="S1" s="222" t="s">
        <v>516</v>
      </c>
      <c r="T1" s="223" t="s">
        <v>840</v>
      </c>
      <c r="U1" s="235"/>
      <c r="V1" s="247"/>
      <c r="W1" s="247"/>
      <c r="AA1" s="49" t="s">
        <v>848</v>
      </c>
      <c r="AB1" s="50" t="s">
        <v>849</v>
      </c>
      <c r="AC1" s="50" t="s">
        <v>850</v>
      </c>
      <c r="AD1" s="51" t="s">
        <v>851</v>
      </c>
      <c r="AG1" s="236"/>
      <c r="AH1" s="236"/>
      <c r="AI1" s="236"/>
      <c r="AJ1" s="236"/>
      <c r="AK1" s="236"/>
      <c r="AL1" s="236"/>
      <c r="AM1" s="236"/>
      <c r="AN1" s="236"/>
      <c r="AO1" s="236"/>
      <c r="AP1" s="236"/>
      <c r="AQ1" s="236"/>
      <c r="AR1" s="236"/>
    </row>
    <row r="2" spans="1:95" customFormat="1" ht="15.75" customHeight="1" outlineLevel="1">
      <c r="A2" s="699" t="s">
        <v>610</v>
      </c>
      <c r="F2" s="12"/>
      <c r="G2" s="228"/>
      <c r="H2" s="13"/>
      <c r="I2" s="234"/>
      <c r="J2" s="12"/>
      <c r="K2" s="182"/>
      <c r="L2" s="13"/>
      <c r="M2" s="234"/>
      <c r="N2" s="12"/>
      <c r="O2" s="188"/>
      <c r="P2" s="13"/>
      <c r="Q2" s="234"/>
      <c r="R2" s="12"/>
      <c r="S2" s="188"/>
      <c r="T2" s="13"/>
      <c r="U2" s="254"/>
      <c r="V2" s="191"/>
      <c r="W2" s="191"/>
      <c r="AA2" s="201" t="str">
        <f ca="1">INDIRECT(MID($U$34,AB2,$AC$2))</f>
        <v>Connaissances générales (Empire)</v>
      </c>
      <c r="AB2" s="225">
        <v>1</v>
      </c>
      <c r="AC2" s="225">
        <v>3</v>
      </c>
      <c r="AD2" s="252">
        <f ca="1">COUNTIF(G34:G52,0)+COUNTIF(K34:K52,0)+COUNTIF(O34:O52,0)+COUNTIF(S34:S52,0)</f>
        <v>14</v>
      </c>
      <c r="AE2" s="237"/>
      <c r="AF2" s="237"/>
      <c r="AG2" s="237"/>
      <c r="AH2" s="237"/>
      <c r="AI2" s="237"/>
      <c r="AJ2" s="237"/>
      <c r="AK2" s="237"/>
      <c r="AL2" s="237"/>
      <c r="AM2" s="237"/>
      <c r="AN2" s="237"/>
      <c r="AO2" s="237"/>
      <c r="AP2" s="237"/>
      <c r="AQ2" s="237"/>
      <c r="AR2" s="237"/>
      <c r="AS2" s="237"/>
      <c r="AT2" s="237"/>
      <c r="AU2" s="237"/>
      <c r="AV2" s="237"/>
      <c r="AW2" s="237"/>
      <c r="AX2" s="237"/>
      <c r="AY2" s="237"/>
      <c r="AZ2" s="237"/>
      <c r="BA2" s="237"/>
      <c r="BB2" s="237"/>
      <c r="BC2" s="237"/>
      <c r="BD2" s="237"/>
      <c r="BE2" s="191"/>
      <c r="BF2" s="191"/>
      <c r="BG2" s="191"/>
      <c r="BH2" s="191"/>
      <c r="BI2" s="191"/>
      <c r="BJ2" s="191"/>
      <c r="BK2" s="191"/>
      <c r="BL2" s="191"/>
      <c r="BM2" s="191"/>
      <c r="BN2" s="191"/>
      <c r="BO2" s="191"/>
      <c r="BP2" s="191"/>
      <c r="BQ2" s="191"/>
      <c r="BR2" s="191"/>
      <c r="BS2" s="191"/>
      <c r="BT2" s="191"/>
      <c r="BU2" s="191"/>
      <c r="BV2" s="191"/>
      <c r="BW2" s="191"/>
      <c r="BX2" s="191"/>
      <c r="BY2" s="191"/>
      <c r="BZ2" s="191"/>
      <c r="CA2" s="191"/>
      <c r="CB2" s="191"/>
      <c r="CC2" s="191"/>
      <c r="CD2" s="191"/>
      <c r="CE2" s="191"/>
      <c r="CF2" s="191"/>
      <c r="CG2" s="191"/>
      <c r="CH2" s="191"/>
      <c r="CI2" s="191"/>
      <c r="CJ2" s="191"/>
      <c r="CK2" s="191"/>
      <c r="CL2" s="191"/>
      <c r="CM2" s="191"/>
      <c r="CN2" s="191"/>
      <c r="CO2" s="191"/>
      <c r="CP2" s="191"/>
      <c r="CQ2" s="191"/>
    </row>
    <row r="3" spans="1:95" customFormat="1" ht="15.75" customHeight="1" outlineLevel="1">
      <c r="A3" s="700"/>
      <c r="F3" s="12"/>
      <c r="G3" s="228"/>
      <c r="H3" s="13"/>
      <c r="I3" s="234"/>
      <c r="J3" s="12"/>
      <c r="K3" s="182"/>
      <c r="L3" s="13"/>
      <c r="M3" s="234"/>
      <c r="N3" s="12"/>
      <c r="O3" s="188"/>
      <c r="P3" s="13"/>
      <c r="Q3" s="234"/>
      <c r="R3" s="12"/>
      <c r="S3" s="188"/>
      <c r="T3" s="13"/>
      <c r="U3" s="254"/>
      <c r="V3" s="191"/>
      <c r="W3" s="191"/>
      <c r="AA3" s="12" t="str">
        <f t="shared" ref="AA3:AA33" ca="1" si="0">INDIRECT(MID($U$34,AB3,$AC$2))</f>
        <v>Langue (Reikspiel)</v>
      </c>
      <c r="AB3" s="228">
        <v>4</v>
      </c>
      <c r="AC3" s="228"/>
      <c r="AD3" s="240"/>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7"/>
      <c r="BE3" s="191"/>
      <c r="BF3" s="191"/>
      <c r="BG3" s="191"/>
      <c r="BH3" s="191"/>
      <c r="BI3" s="191"/>
      <c r="BJ3" s="191"/>
      <c r="BK3" s="191"/>
      <c r="BL3" s="191"/>
      <c r="BM3" s="191"/>
      <c r="BN3" s="191"/>
      <c r="BO3" s="191"/>
      <c r="BP3" s="191"/>
      <c r="BQ3" s="191"/>
      <c r="BR3" s="191"/>
      <c r="BS3" s="191"/>
      <c r="BT3" s="191"/>
      <c r="BU3" s="191"/>
      <c r="BV3" s="191"/>
      <c r="BW3" s="191"/>
      <c r="BX3" s="191"/>
      <c r="BY3" s="191"/>
      <c r="BZ3" s="191"/>
      <c r="CA3" s="191"/>
      <c r="CB3" s="191"/>
      <c r="CC3" s="191"/>
      <c r="CD3" s="191"/>
      <c r="CE3" s="191"/>
      <c r="CF3" s="191"/>
      <c r="CG3" s="191"/>
      <c r="CH3" s="191"/>
      <c r="CI3" s="191"/>
      <c r="CJ3" s="191"/>
      <c r="CK3" s="191"/>
      <c r="CL3" s="191"/>
      <c r="CM3" s="191"/>
      <c r="CN3" s="191"/>
      <c r="CO3" s="191"/>
      <c r="CP3" s="191"/>
      <c r="CQ3" s="191"/>
    </row>
    <row r="4" spans="1:95" customFormat="1" ht="15.75" customHeight="1" outlineLevel="1">
      <c r="A4" s="700"/>
      <c r="F4" s="12"/>
      <c r="G4" s="228"/>
      <c r="H4" s="13"/>
      <c r="I4" s="234"/>
      <c r="J4" s="12"/>
      <c r="K4" s="182"/>
      <c r="L4" s="13"/>
      <c r="M4" s="234"/>
      <c r="N4" s="12"/>
      <c r="O4" s="188"/>
      <c r="P4" s="13"/>
      <c r="Q4" s="234"/>
      <c r="R4" s="12"/>
      <c r="S4" s="188"/>
      <c r="T4" s="13"/>
      <c r="U4" s="254"/>
      <c r="V4" s="191"/>
      <c r="W4" s="191"/>
      <c r="AA4" s="12" t="str">
        <f t="shared" ca="1" si="0"/>
        <v>Connaissances générales (Bretonnie)</v>
      </c>
      <c r="AB4" s="228">
        <v>7</v>
      </c>
      <c r="AC4" s="228"/>
      <c r="AD4" s="240"/>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7"/>
      <c r="BE4" s="191"/>
      <c r="BF4" s="191"/>
      <c r="BG4" s="191"/>
      <c r="BH4" s="191"/>
      <c r="BI4" s="191"/>
      <c r="BJ4" s="191"/>
      <c r="BK4" s="191"/>
      <c r="BL4" s="191"/>
      <c r="BM4" s="191"/>
      <c r="BN4" s="191"/>
      <c r="BO4" s="191"/>
      <c r="BP4" s="191"/>
      <c r="BQ4" s="191"/>
      <c r="BR4" s="191"/>
      <c r="BS4" s="191"/>
      <c r="BT4" s="191"/>
      <c r="BU4" s="191"/>
      <c r="BV4" s="191"/>
      <c r="BW4" s="191"/>
      <c r="BX4" s="191"/>
      <c r="BY4" s="191"/>
      <c r="BZ4" s="191"/>
      <c r="CA4" s="191"/>
      <c r="CB4" s="191"/>
      <c r="CC4" s="191"/>
      <c r="CD4" s="191"/>
      <c r="CE4" s="191"/>
      <c r="CF4" s="191"/>
      <c r="CG4" s="191"/>
      <c r="CH4" s="191"/>
      <c r="CI4" s="191"/>
      <c r="CJ4" s="191"/>
      <c r="CK4" s="191"/>
      <c r="CL4" s="191"/>
      <c r="CM4" s="191"/>
      <c r="CN4" s="191"/>
      <c r="CO4" s="191"/>
      <c r="CP4" s="191"/>
      <c r="CQ4" s="191"/>
    </row>
    <row r="5" spans="1:95" customFormat="1" ht="15.75" customHeight="1" outlineLevel="1">
      <c r="A5" s="700"/>
      <c r="F5" s="12"/>
      <c r="G5" s="228"/>
      <c r="H5" s="13"/>
      <c r="I5" s="234"/>
      <c r="J5" s="12"/>
      <c r="K5" s="182"/>
      <c r="L5" s="13"/>
      <c r="M5" s="234"/>
      <c r="N5" s="12"/>
      <c r="O5" s="188"/>
      <c r="P5" s="13"/>
      <c r="Q5" s="234"/>
      <c r="R5" s="12"/>
      <c r="S5" s="188"/>
      <c r="T5" s="13"/>
      <c r="U5" s="254"/>
      <c r="V5" s="191"/>
      <c r="W5" s="191"/>
      <c r="AA5" s="12" t="str">
        <f t="shared" ca="1" si="0"/>
        <v>Connaissances générales (Norsca)</v>
      </c>
      <c r="AB5" s="228">
        <v>10</v>
      </c>
      <c r="AC5" s="228"/>
      <c r="AD5" s="240"/>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7"/>
      <c r="BE5" s="191"/>
      <c r="BF5" s="191"/>
      <c r="BG5" s="191"/>
      <c r="BH5" s="191"/>
      <c r="BI5" s="191"/>
      <c r="BJ5" s="191"/>
      <c r="BK5" s="191"/>
      <c r="BL5" s="191"/>
      <c r="BM5" s="191"/>
      <c r="BN5" s="191"/>
      <c r="BO5" s="191"/>
      <c r="BP5" s="191"/>
      <c r="BQ5" s="191"/>
      <c r="BR5" s="191"/>
      <c r="BS5" s="191"/>
      <c r="BT5" s="191"/>
      <c r="BU5" s="191"/>
      <c r="BV5" s="191"/>
      <c r="BW5" s="191"/>
      <c r="BX5" s="191"/>
      <c r="BY5" s="191"/>
      <c r="BZ5" s="191"/>
      <c r="CA5" s="191"/>
      <c r="CB5" s="191"/>
      <c r="CC5" s="191"/>
      <c r="CD5" s="191"/>
      <c r="CE5" s="191"/>
      <c r="CF5" s="191"/>
      <c r="CG5" s="191"/>
      <c r="CH5" s="191"/>
      <c r="CI5" s="191"/>
      <c r="CJ5" s="191"/>
      <c r="CK5" s="191"/>
      <c r="CL5" s="191"/>
      <c r="CM5" s="191"/>
      <c r="CN5" s="191"/>
      <c r="CO5" s="191"/>
      <c r="CP5" s="191"/>
      <c r="CQ5" s="191"/>
    </row>
    <row r="6" spans="1:95" customFormat="1" ht="15.75" customHeight="1" outlineLevel="1">
      <c r="A6" s="700"/>
      <c r="F6" s="12"/>
      <c r="G6" s="228"/>
      <c r="H6" s="13"/>
      <c r="I6" s="234"/>
      <c r="J6" s="12"/>
      <c r="K6" s="182"/>
      <c r="L6" s="13"/>
      <c r="M6" s="234"/>
      <c r="N6" s="12"/>
      <c r="O6" s="188"/>
      <c r="P6" s="13"/>
      <c r="Q6" s="234"/>
      <c r="R6" s="12"/>
      <c r="S6" s="188"/>
      <c r="T6" s="13"/>
      <c r="U6" s="254"/>
      <c r="V6" s="191"/>
      <c r="W6" s="191"/>
      <c r="AA6" s="12" t="str">
        <f t="shared" ca="1" si="0"/>
        <v>Connaissances générales (Pays perdu)</v>
      </c>
      <c r="AB6" s="228">
        <v>13</v>
      </c>
      <c r="AC6" s="228"/>
      <c r="AD6" s="240"/>
      <c r="AE6" s="239"/>
      <c r="AF6" s="239"/>
      <c r="AG6" s="239"/>
      <c r="AH6" s="239"/>
      <c r="AI6" s="239"/>
      <c r="AJ6" s="239"/>
      <c r="AK6" s="239"/>
      <c r="AL6" s="239"/>
      <c r="AM6" s="239"/>
      <c r="AN6" s="239"/>
      <c r="AO6" s="239"/>
      <c r="AP6" s="239"/>
      <c r="AQ6" s="239"/>
      <c r="AR6" s="239"/>
      <c r="AS6" s="239"/>
      <c r="AT6" s="239"/>
      <c r="AU6" s="239"/>
      <c r="AV6" s="239"/>
      <c r="AW6" s="239"/>
      <c r="AX6" s="239"/>
      <c r="AY6" s="239"/>
      <c r="AZ6" s="239"/>
      <c r="BA6" s="239"/>
      <c r="BB6" s="239"/>
      <c r="BC6" s="239"/>
      <c r="BD6" s="237"/>
      <c r="BE6" s="191"/>
      <c r="BF6" s="191"/>
      <c r="BG6" s="191"/>
      <c r="BH6" s="191"/>
      <c r="BI6" s="191"/>
      <c r="BJ6" s="191"/>
      <c r="BK6" s="191"/>
      <c r="BL6" s="191"/>
      <c r="BM6" s="191"/>
      <c r="BN6" s="191"/>
      <c r="BO6" s="191"/>
      <c r="BP6" s="191"/>
      <c r="BQ6" s="191"/>
      <c r="BR6" s="191"/>
      <c r="BS6" s="191"/>
      <c r="BT6" s="191"/>
      <c r="BU6" s="191"/>
      <c r="BV6" s="191"/>
      <c r="BW6" s="191"/>
      <c r="BX6" s="191"/>
      <c r="BY6" s="191"/>
      <c r="BZ6" s="191"/>
      <c r="CA6" s="191"/>
      <c r="CB6" s="191"/>
      <c r="CC6" s="191"/>
      <c r="CD6" s="191"/>
      <c r="CE6" s="191"/>
      <c r="CF6" s="191"/>
      <c r="CG6" s="191"/>
      <c r="CH6" s="191"/>
      <c r="CI6" s="191"/>
      <c r="CJ6" s="191"/>
      <c r="CK6" s="191"/>
      <c r="CL6" s="191"/>
      <c r="CM6" s="191"/>
      <c r="CN6" s="191"/>
      <c r="CO6" s="191"/>
      <c r="CP6" s="191"/>
      <c r="CQ6" s="191"/>
    </row>
    <row r="7" spans="1:95" customFormat="1" ht="15.75" customHeight="1" outlineLevel="1">
      <c r="A7" s="700"/>
      <c r="F7" s="12"/>
      <c r="G7" s="228"/>
      <c r="H7" s="13"/>
      <c r="I7" s="234"/>
      <c r="J7" s="12"/>
      <c r="K7" s="182"/>
      <c r="L7" s="13"/>
      <c r="M7" s="234"/>
      <c r="N7" s="12"/>
      <c r="O7" s="188"/>
      <c r="P7" s="13"/>
      <c r="Q7" s="234"/>
      <c r="R7" s="12"/>
      <c r="S7" s="188"/>
      <c r="T7" s="13"/>
      <c r="U7" s="254"/>
      <c r="V7" s="191"/>
      <c r="W7" s="191"/>
      <c r="AA7" s="12" t="str">
        <f t="shared" ca="1" si="0"/>
        <v>Connaissances générales (Tilée)</v>
      </c>
      <c r="AB7" s="228">
        <v>16</v>
      </c>
      <c r="AC7" s="228"/>
      <c r="AD7" s="240"/>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7"/>
      <c r="BE7" s="191"/>
      <c r="BF7" s="191"/>
      <c r="BG7" s="191"/>
      <c r="BH7" s="191"/>
      <c r="BI7" s="191"/>
      <c r="BJ7" s="191"/>
      <c r="BK7" s="191"/>
      <c r="BL7" s="191"/>
      <c r="BM7" s="191"/>
      <c r="BN7" s="191"/>
      <c r="BO7" s="191"/>
      <c r="BP7" s="191"/>
      <c r="BQ7" s="191"/>
      <c r="BR7" s="191"/>
      <c r="BS7" s="191"/>
      <c r="BT7" s="191"/>
      <c r="BU7" s="191"/>
      <c r="BV7" s="191"/>
      <c r="BW7" s="191"/>
      <c r="BX7" s="191"/>
      <c r="BY7" s="191"/>
      <c r="BZ7" s="191"/>
      <c r="CA7" s="191"/>
      <c r="CB7" s="191"/>
      <c r="CC7" s="191"/>
      <c r="CD7" s="191"/>
      <c r="CE7" s="191"/>
      <c r="CF7" s="191"/>
      <c r="CG7" s="191"/>
      <c r="CH7" s="191"/>
      <c r="CI7" s="191"/>
      <c r="CJ7" s="191"/>
      <c r="CK7" s="191"/>
      <c r="CL7" s="191"/>
      <c r="CM7" s="191"/>
      <c r="CN7" s="191"/>
      <c r="CO7" s="191"/>
      <c r="CP7" s="191"/>
      <c r="CQ7" s="191"/>
    </row>
    <row r="8" spans="1:95" customFormat="1" ht="15.75" customHeight="1" outlineLevel="1">
      <c r="A8" s="700"/>
      <c r="F8" s="12"/>
      <c r="G8" s="228"/>
      <c r="H8" s="13"/>
      <c r="I8" s="234"/>
      <c r="J8" s="12"/>
      <c r="K8" s="182"/>
      <c r="L8" s="13"/>
      <c r="M8" s="234"/>
      <c r="N8" s="12"/>
      <c r="O8" s="188"/>
      <c r="P8" s="13"/>
      <c r="Q8" s="234"/>
      <c r="R8" s="12"/>
      <c r="S8" s="188"/>
      <c r="T8" s="13"/>
      <c r="U8" s="254"/>
      <c r="V8" s="191"/>
      <c r="W8" s="191"/>
      <c r="AA8" s="12" t="str">
        <f t="shared" ca="1" si="0"/>
        <v>Esquive</v>
      </c>
      <c r="AB8" s="228">
        <v>19</v>
      </c>
      <c r="AC8" s="228"/>
      <c r="AD8" s="240"/>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7"/>
      <c r="BE8" s="191"/>
      <c r="BF8" s="191"/>
      <c r="BG8" s="191"/>
      <c r="BH8" s="191"/>
      <c r="BI8" s="191"/>
      <c r="BJ8" s="191"/>
      <c r="BK8" s="191"/>
      <c r="BL8" s="191"/>
      <c r="BM8" s="191"/>
      <c r="BN8" s="191"/>
      <c r="BO8" s="191"/>
      <c r="BP8" s="191"/>
      <c r="BQ8" s="191"/>
      <c r="BR8" s="191"/>
      <c r="BS8" s="191"/>
      <c r="BT8" s="191"/>
      <c r="BU8" s="191"/>
      <c r="BV8" s="191"/>
      <c r="BW8" s="191"/>
      <c r="BX8" s="191"/>
      <c r="BY8" s="191"/>
      <c r="BZ8" s="191"/>
      <c r="CA8" s="191"/>
      <c r="CB8" s="191"/>
      <c r="CC8" s="191"/>
      <c r="CD8" s="191"/>
      <c r="CE8" s="191"/>
      <c r="CF8" s="191"/>
      <c r="CG8" s="191"/>
      <c r="CH8" s="191"/>
      <c r="CI8" s="191"/>
      <c r="CJ8" s="191"/>
      <c r="CK8" s="191"/>
      <c r="CL8" s="191"/>
      <c r="CM8" s="191"/>
      <c r="CN8" s="191"/>
      <c r="CO8" s="191"/>
      <c r="CP8" s="191"/>
      <c r="CQ8" s="191"/>
    </row>
    <row r="9" spans="1:95" customFormat="1" ht="15.75" customHeight="1" outlineLevel="1">
      <c r="A9" s="700"/>
      <c r="F9" s="12"/>
      <c r="G9" s="228"/>
      <c r="H9" s="13"/>
      <c r="I9" s="234"/>
      <c r="J9" s="12"/>
      <c r="K9" s="182"/>
      <c r="L9" s="13"/>
      <c r="M9" s="234"/>
      <c r="N9" s="12"/>
      <c r="O9" s="188"/>
      <c r="P9" s="13"/>
      <c r="Q9" s="234"/>
      <c r="R9" s="12"/>
      <c r="S9" s="188"/>
      <c r="T9" s="13"/>
      <c r="U9" s="254"/>
      <c r="V9" s="191"/>
      <c r="W9" s="191"/>
      <c r="X9" s="191"/>
      <c r="Y9" s="191"/>
      <c r="AA9" s="12" t="str">
        <f t="shared" ca="1" si="0"/>
        <v>Langue (Bretonnien)</v>
      </c>
      <c r="AB9" s="228">
        <v>22</v>
      </c>
      <c r="AC9" s="228"/>
      <c r="AD9" s="240"/>
      <c r="AE9" s="239"/>
      <c r="AF9" s="239"/>
      <c r="AG9" s="239"/>
      <c r="AH9" s="239"/>
      <c r="AI9" s="239"/>
      <c r="AJ9" s="239"/>
      <c r="AK9" s="239"/>
      <c r="AL9" s="239"/>
      <c r="AM9" s="239"/>
      <c r="AN9" s="239"/>
      <c r="AO9" s="239"/>
      <c r="AP9" s="239"/>
      <c r="AQ9" s="239"/>
      <c r="AR9" s="239"/>
      <c r="AS9" s="239"/>
      <c r="AT9" s="239"/>
      <c r="AU9" s="239"/>
      <c r="AV9" s="239"/>
      <c r="AW9" s="239"/>
      <c r="AX9" s="239"/>
      <c r="AY9" s="239"/>
      <c r="AZ9" s="239"/>
      <c r="BA9" s="239"/>
      <c r="BB9" s="239"/>
      <c r="BC9" s="239"/>
      <c r="BD9" s="237"/>
      <c r="BE9" s="191"/>
      <c r="BF9" s="191"/>
      <c r="BG9" s="191"/>
      <c r="BH9" s="191"/>
      <c r="BI9" s="191"/>
      <c r="BJ9" s="191"/>
      <c r="BK9" s="191"/>
      <c r="BL9" s="191"/>
      <c r="BM9" s="191"/>
      <c r="BN9" s="191"/>
      <c r="BO9" s="191"/>
      <c r="BP9" s="191"/>
      <c r="BQ9" s="191"/>
      <c r="BR9" s="191"/>
      <c r="BS9" s="191"/>
      <c r="BT9" s="191"/>
      <c r="BU9" s="191"/>
      <c r="BV9" s="191"/>
      <c r="BW9" s="191"/>
      <c r="BX9" s="191"/>
      <c r="BY9" s="191"/>
      <c r="BZ9" s="191"/>
      <c r="CA9" s="191"/>
      <c r="CB9" s="191"/>
      <c r="CC9" s="191"/>
      <c r="CD9" s="191"/>
      <c r="CE9" s="191"/>
      <c r="CF9" s="191"/>
      <c r="CG9" s="191"/>
      <c r="CH9" s="191"/>
      <c r="CI9" s="191"/>
      <c r="CJ9" s="191"/>
      <c r="CK9" s="191"/>
      <c r="CL9" s="191"/>
      <c r="CM9" s="191"/>
      <c r="CN9" s="191"/>
      <c r="CO9" s="191"/>
      <c r="CP9" s="191"/>
      <c r="CQ9" s="191"/>
    </row>
    <row r="10" spans="1:95" customFormat="1" ht="15.75" customHeight="1" outlineLevel="1">
      <c r="A10" s="700"/>
      <c r="F10" s="12"/>
      <c r="G10" s="228"/>
      <c r="H10" s="13"/>
      <c r="I10" s="234"/>
      <c r="J10" s="12"/>
      <c r="K10" s="182"/>
      <c r="L10" s="13"/>
      <c r="M10" s="234"/>
      <c r="N10" s="12"/>
      <c r="O10" s="188"/>
      <c r="P10" s="13"/>
      <c r="Q10" s="234"/>
      <c r="R10" s="12"/>
      <c r="S10" s="188"/>
      <c r="T10" s="13"/>
      <c r="U10" s="254"/>
      <c r="V10" s="191"/>
      <c r="W10" s="191"/>
      <c r="X10" s="191"/>
      <c r="Y10" s="191"/>
      <c r="Z10" s="191"/>
      <c r="AA10" s="12" t="str">
        <f t="shared" ca="1" si="0"/>
        <v>Langue (Norsce)</v>
      </c>
      <c r="AB10" s="228">
        <v>25</v>
      </c>
      <c r="AC10" s="231"/>
      <c r="AD10" s="249"/>
      <c r="AE10" s="132"/>
      <c r="AF10" s="239"/>
      <c r="AG10" s="239"/>
      <c r="AH10" s="239"/>
      <c r="AI10" s="239"/>
      <c r="AJ10" s="239"/>
      <c r="AK10" s="239"/>
      <c r="AL10" s="239"/>
      <c r="AM10" s="239"/>
      <c r="AN10" s="239"/>
      <c r="AO10" s="239"/>
      <c r="AP10" s="239"/>
      <c r="AQ10" s="239"/>
      <c r="AR10" s="239"/>
      <c r="AS10" s="239"/>
      <c r="AT10" s="239"/>
      <c r="AU10" s="239"/>
      <c r="AV10" s="239"/>
      <c r="AW10" s="239"/>
      <c r="AX10" s="239"/>
      <c r="AY10" s="239"/>
      <c r="AZ10" s="239"/>
      <c r="BA10" s="239"/>
      <c r="BB10" s="239"/>
      <c r="BC10" s="239"/>
      <c r="BD10" s="237"/>
      <c r="BE10" s="191"/>
      <c r="BF10" s="191"/>
      <c r="BG10" s="191"/>
      <c r="BH10" s="191"/>
      <c r="BI10" s="191"/>
      <c r="BJ10" s="191"/>
      <c r="BK10" s="191"/>
      <c r="BL10" s="191"/>
      <c r="BM10" s="191"/>
      <c r="BN10" s="191"/>
      <c r="BO10" s="191"/>
      <c r="BP10" s="191"/>
      <c r="BQ10" s="191"/>
      <c r="BR10" s="191"/>
      <c r="BS10" s="191"/>
      <c r="BT10" s="191"/>
      <c r="BU10" s="191"/>
      <c r="BV10" s="191"/>
      <c r="BW10" s="191"/>
      <c r="BX10" s="191"/>
      <c r="BY10" s="191"/>
      <c r="BZ10" s="191"/>
      <c r="CA10" s="191"/>
      <c r="CB10" s="191"/>
      <c r="CC10" s="191"/>
      <c r="CD10" s="191"/>
      <c r="CE10" s="191"/>
      <c r="CF10" s="191"/>
      <c r="CG10" s="191"/>
      <c r="CH10" s="191"/>
      <c r="CI10" s="191"/>
      <c r="CJ10" s="191"/>
      <c r="CK10" s="191"/>
      <c r="CL10" s="191"/>
      <c r="CM10" s="191"/>
      <c r="CN10" s="191"/>
      <c r="CO10" s="191"/>
      <c r="CP10" s="191"/>
      <c r="CQ10" s="191"/>
    </row>
    <row r="11" spans="1:95" customFormat="1" ht="15.75" customHeight="1" outlineLevel="1">
      <c r="A11" s="700"/>
      <c r="F11" s="12"/>
      <c r="G11" s="228"/>
      <c r="H11" s="13"/>
      <c r="I11" s="234"/>
      <c r="J11" s="12"/>
      <c r="K11" s="182"/>
      <c r="L11" s="13"/>
      <c r="M11" s="234"/>
      <c r="N11" s="12"/>
      <c r="O11" s="188"/>
      <c r="P11" s="13"/>
      <c r="Q11" s="234"/>
      <c r="R11" s="12"/>
      <c r="S11" s="188"/>
      <c r="T11" s="13"/>
      <c r="U11" s="254"/>
      <c r="V11" s="191"/>
      <c r="W11" s="191"/>
      <c r="X11" s="191"/>
      <c r="Y11" s="191"/>
      <c r="Z11" s="191"/>
      <c r="AA11" s="12" t="str">
        <f t="shared" ca="1" si="0"/>
        <v>Langue (Tilée)</v>
      </c>
      <c r="AB11" s="228">
        <v>28</v>
      </c>
      <c r="AC11" s="231"/>
      <c r="AD11" s="249"/>
      <c r="AE11" s="132"/>
      <c r="AF11" s="239"/>
      <c r="AG11" s="239"/>
      <c r="AH11" s="239"/>
      <c r="AI11" s="239"/>
      <c r="AJ11" s="239"/>
      <c r="AK11" s="239"/>
      <c r="AL11" s="239"/>
      <c r="AM11" s="239"/>
      <c r="AN11" s="239"/>
      <c r="AO11" s="239"/>
      <c r="AP11" s="239"/>
      <c r="AQ11" s="239"/>
      <c r="AR11" s="239"/>
      <c r="AS11" s="239"/>
      <c r="AT11" s="239"/>
      <c r="AU11" s="239"/>
      <c r="AV11" s="239"/>
      <c r="AW11" s="239"/>
      <c r="AX11" s="239"/>
      <c r="AY11" s="239"/>
      <c r="AZ11" s="239"/>
      <c r="BA11" s="239"/>
      <c r="BB11" s="239"/>
      <c r="BC11" s="239"/>
      <c r="BD11" s="237"/>
      <c r="BE11" s="191"/>
      <c r="BF11" s="191"/>
      <c r="BG11" s="191"/>
      <c r="BH11" s="191"/>
      <c r="BI11" s="191"/>
      <c r="BJ11" s="191"/>
      <c r="BK11" s="191"/>
      <c r="BL11" s="191"/>
      <c r="BM11" s="191"/>
      <c r="BN11" s="191"/>
      <c r="BO11" s="191"/>
      <c r="BP11" s="191"/>
      <c r="BQ11" s="191"/>
      <c r="BR11" s="191"/>
      <c r="BS11" s="191"/>
      <c r="BT11" s="191"/>
      <c r="BU11" s="191"/>
      <c r="BV11" s="191"/>
      <c r="BW11" s="191"/>
      <c r="BX11" s="191"/>
      <c r="BY11" s="191"/>
      <c r="BZ11" s="191"/>
      <c r="CA11" s="191"/>
      <c r="CB11" s="191"/>
      <c r="CC11" s="191"/>
      <c r="CD11" s="191"/>
      <c r="CE11" s="191"/>
      <c r="CF11" s="191"/>
      <c r="CG11" s="191"/>
      <c r="CH11" s="191"/>
      <c r="CI11" s="191"/>
      <c r="CJ11" s="191"/>
      <c r="CK11" s="191"/>
      <c r="CL11" s="191"/>
      <c r="CM11" s="191"/>
      <c r="CN11" s="191"/>
      <c r="CO11" s="191"/>
      <c r="CP11" s="191"/>
      <c r="CQ11" s="191"/>
    </row>
    <row r="12" spans="1:95" customFormat="1" ht="15.75" customHeight="1" outlineLevel="1">
      <c r="A12" s="700"/>
      <c r="F12" s="12"/>
      <c r="G12" s="228"/>
      <c r="H12" s="13"/>
      <c r="I12" s="234"/>
      <c r="J12" s="12"/>
      <c r="K12" s="182"/>
      <c r="L12" s="13"/>
      <c r="M12" s="234"/>
      <c r="N12" s="12"/>
      <c r="O12" s="188"/>
      <c r="P12" s="13"/>
      <c r="Q12" s="234"/>
      <c r="R12" s="12"/>
      <c r="S12" s="188"/>
      <c r="T12" s="13"/>
      <c r="U12" s="254"/>
      <c r="V12" s="191"/>
      <c r="W12" s="191"/>
      <c r="X12" s="191"/>
      <c r="Y12" s="191"/>
      <c r="Z12" s="191"/>
      <c r="AA12" s="12" t="str">
        <f t="shared" ca="1" si="0"/>
        <v>Navigation</v>
      </c>
      <c r="AB12" s="228">
        <v>31</v>
      </c>
      <c r="AC12" s="231"/>
      <c r="AD12" s="249"/>
      <c r="AE12" s="132"/>
      <c r="AF12" s="239"/>
      <c r="AG12" s="239"/>
      <c r="AH12" s="239"/>
      <c r="AI12" s="239"/>
      <c r="AJ12" s="239"/>
      <c r="AK12" s="239"/>
      <c r="AL12" s="239"/>
      <c r="AM12" s="239"/>
      <c r="AN12" s="239"/>
      <c r="AO12" s="239"/>
      <c r="AP12" s="239"/>
      <c r="AQ12" s="239"/>
      <c r="AR12" s="239"/>
      <c r="AS12" s="239"/>
      <c r="AT12" s="239"/>
      <c r="AU12" s="239"/>
      <c r="AV12" s="239"/>
      <c r="AW12" s="239"/>
      <c r="AX12" s="239"/>
      <c r="AY12" s="239"/>
      <c r="AZ12" s="239"/>
      <c r="BA12" s="239"/>
      <c r="BB12" s="239"/>
      <c r="BC12" s="239"/>
      <c r="BD12" s="237"/>
      <c r="BE12" s="191"/>
      <c r="BF12" s="191"/>
      <c r="BG12" s="191"/>
      <c r="BH12" s="191"/>
      <c r="BI12" s="191"/>
      <c r="BJ12" s="191"/>
      <c r="BK12" s="191"/>
      <c r="BL12" s="191"/>
      <c r="BM12" s="191"/>
      <c r="BN12" s="191"/>
      <c r="BO12" s="191"/>
      <c r="BP12" s="191"/>
      <c r="BQ12" s="191"/>
      <c r="BR12" s="191"/>
      <c r="BS12" s="191"/>
      <c r="BT12" s="191"/>
      <c r="BU12" s="191"/>
      <c r="BV12" s="191"/>
      <c r="BW12" s="191"/>
      <c r="BX12" s="191"/>
      <c r="BY12" s="191"/>
      <c r="BZ12" s="191"/>
      <c r="CA12" s="191"/>
      <c r="CB12" s="191"/>
      <c r="CC12" s="191"/>
      <c r="CD12" s="191"/>
      <c r="CE12" s="191"/>
      <c r="CF12" s="191"/>
      <c r="CG12" s="191"/>
      <c r="CH12" s="191"/>
      <c r="CI12" s="191"/>
      <c r="CJ12" s="191"/>
      <c r="CK12" s="191"/>
      <c r="CL12" s="191"/>
      <c r="CM12" s="191"/>
      <c r="CN12" s="191"/>
      <c r="CO12" s="191"/>
      <c r="CP12" s="191"/>
      <c r="CQ12" s="191"/>
    </row>
    <row r="13" spans="1:95" customFormat="1" ht="15.75" customHeight="1" outlineLevel="1" thickBot="1">
      <c r="A13" s="700"/>
      <c r="F13" s="199"/>
      <c r="G13" s="224"/>
      <c r="H13" s="200"/>
      <c r="I13" s="234"/>
      <c r="J13" s="199"/>
      <c r="K13" s="224"/>
      <c r="L13" s="200"/>
      <c r="M13" s="234"/>
      <c r="N13" s="199"/>
      <c r="O13" s="224"/>
      <c r="P13" s="200"/>
      <c r="Q13" s="234"/>
      <c r="R13" s="199"/>
      <c r="S13" s="224"/>
      <c r="T13" s="200"/>
      <c r="U13" s="254"/>
      <c r="V13" s="191"/>
      <c r="W13" s="191"/>
      <c r="X13" s="191"/>
      <c r="Y13" s="191"/>
      <c r="Z13" s="191"/>
      <c r="AA13" s="12" t="str">
        <f t="shared" ca="1" si="0"/>
        <v>Baratin</v>
      </c>
      <c r="AB13" s="228">
        <v>34</v>
      </c>
      <c r="AC13" s="231"/>
      <c r="AD13" s="249"/>
      <c r="AE13" s="132"/>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7"/>
      <c r="BE13" s="191"/>
      <c r="BF13" s="191"/>
      <c r="BG13" s="191"/>
      <c r="BH13" s="191"/>
      <c r="BI13" s="191"/>
      <c r="BJ13" s="191"/>
      <c r="BK13" s="191"/>
      <c r="BL13" s="191"/>
      <c r="BM13" s="191"/>
      <c r="BN13" s="191"/>
      <c r="BO13" s="191"/>
      <c r="BP13" s="191"/>
      <c r="BQ13" s="191"/>
      <c r="BR13" s="191"/>
      <c r="BS13" s="191"/>
      <c r="BT13" s="191"/>
      <c r="BU13" s="191"/>
      <c r="BV13" s="191"/>
      <c r="BW13" s="191"/>
      <c r="BX13" s="191"/>
      <c r="BY13" s="191"/>
      <c r="BZ13" s="191"/>
      <c r="CA13" s="191"/>
      <c r="CB13" s="191"/>
      <c r="CC13" s="191"/>
      <c r="CD13" s="191"/>
      <c r="CE13" s="191"/>
      <c r="CF13" s="191"/>
      <c r="CG13" s="191"/>
      <c r="CH13" s="191"/>
      <c r="CI13" s="191"/>
      <c r="CJ13" s="191"/>
      <c r="CK13" s="191"/>
      <c r="CL13" s="191"/>
      <c r="CM13" s="191"/>
      <c r="CN13" s="191"/>
      <c r="CO13" s="191"/>
      <c r="CP13" s="191"/>
      <c r="CQ13" s="191"/>
    </row>
    <row r="14" spans="1:95" s="184" customFormat="1">
      <c r="A14" s="660" t="s">
        <v>800</v>
      </c>
      <c r="F14" s="9" t="str">
        <f t="shared" ref="F14:F33" si="1">CompetenceBaseC0</f>
        <v>Commérages</v>
      </c>
      <c r="G14" s="226">
        <v>0</v>
      </c>
      <c r="H14" s="11"/>
      <c r="I14" s="696"/>
      <c r="J14" s="9" t="str">
        <f t="shared" ref="J14:J33" si="2">CompetenceBaseC1</f>
        <v>Canotage</v>
      </c>
      <c r="K14" s="180">
        <f t="shared" ref="K14:K45" ca="1" si="3">COUNTIF($F$14:$F$91,J14)</f>
        <v>0</v>
      </c>
      <c r="L14" s="11" t="str">
        <f ca="1">IF(AND(J14&lt;&gt;" ",K14=0),J14,"")</f>
        <v>Canotage</v>
      </c>
      <c r="M14" s="696"/>
      <c r="N14" s="9" t="str">
        <f t="shared" ref="N14:N33" si="4">CompetenceBaseC2</f>
        <v>Commérages</v>
      </c>
      <c r="O14" s="187">
        <f t="shared" ref="O14:O45" ca="1" si="5">COUNTIF($F$14:$J$91,N14)</f>
        <v>1</v>
      </c>
      <c r="P14" s="11"/>
      <c r="Q14" s="696"/>
      <c r="R14" s="9" t="str">
        <f t="shared" ref="R14:R33" si="6">CompetenceBaseC3</f>
        <v>Charisme</v>
      </c>
      <c r="S14" s="187">
        <f t="shared" ref="S14:S45" ca="1" si="7">COUNTIF($F$14:$N$91,R14)</f>
        <v>0</v>
      </c>
      <c r="T14" s="11"/>
      <c r="U14" s="696"/>
      <c r="V14" s="191"/>
      <c r="W14" s="191"/>
      <c r="X14" s="191"/>
      <c r="Y14" s="191"/>
      <c r="Z14" s="191"/>
      <c r="AA14" s="12" t="str">
        <f t="shared" ca="1" si="0"/>
        <v>Connaissances académique (Généaologie/Héraldique)</v>
      </c>
      <c r="AB14" s="228">
        <v>37</v>
      </c>
      <c r="AC14" s="231"/>
      <c r="AD14" s="249"/>
      <c r="AE14" s="132"/>
      <c r="AF14" s="239"/>
      <c r="AG14" s="71"/>
      <c r="AH14" s="71"/>
      <c r="AI14" s="71"/>
      <c r="AJ14" s="71"/>
      <c r="AK14" s="71"/>
      <c r="AL14" s="239"/>
      <c r="AM14" s="71"/>
      <c r="AN14" s="71"/>
      <c r="AO14" s="71"/>
      <c r="AP14" s="71"/>
      <c r="AQ14" s="71"/>
      <c r="AR14" s="239"/>
      <c r="AS14" s="239"/>
      <c r="AT14" s="239"/>
      <c r="AU14" s="239"/>
      <c r="AV14" s="239"/>
      <c r="AW14" s="239"/>
      <c r="AX14" s="239"/>
      <c r="AY14" s="239"/>
      <c r="AZ14" s="239"/>
      <c r="BA14" s="239"/>
      <c r="BB14" s="239"/>
      <c r="BC14" s="239"/>
      <c r="BD14" s="237"/>
      <c r="BE14" s="191"/>
      <c r="BF14" s="191"/>
      <c r="BG14" s="191"/>
      <c r="BH14" s="191"/>
      <c r="BI14" s="191"/>
      <c r="BJ14" s="191"/>
      <c r="BK14" s="191"/>
      <c r="BL14" s="191"/>
      <c r="BM14" s="191"/>
      <c r="BN14" s="191"/>
      <c r="BO14" s="191"/>
      <c r="BP14" s="191"/>
      <c r="BQ14" s="191"/>
      <c r="BR14" s="191"/>
      <c r="BS14" s="191"/>
      <c r="BT14" s="191"/>
      <c r="BU14" s="191"/>
      <c r="BV14" s="191"/>
      <c r="BW14" s="191"/>
      <c r="BX14" s="191"/>
      <c r="BY14" s="191"/>
      <c r="BZ14" s="191"/>
      <c r="CA14" s="191"/>
      <c r="CB14" s="191"/>
      <c r="CC14" s="191"/>
      <c r="CD14" s="191"/>
      <c r="CE14" s="191"/>
      <c r="CF14" s="191"/>
      <c r="CG14" s="191"/>
      <c r="CH14" s="191"/>
      <c r="CI14" s="191"/>
      <c r="CJ14" s="191"/>
      <c r="CK14" s="191"/>
      <c r="CL14" s="191"/>
      <c r="CM14" s="191"/>
      <c r="CN14" s="191"/>
      <c r="CO14" s="191"/>
      <c r="CP14" s="191"/>
      <c r="CQ14" s="191"/>
    </row>
    <row r="15" spans="1:95">
      <c r="A15" s="661"/>
      <c r="B15" s="185"/>
      <c r="C15" s="185"/>
      <c r="D15" s="185"/>
      <c r="F15" s="12" t="str">
        <f t="shared" si="1"/>
        <v xml:space="preserve"> </v>
      </c>
      <c r="G15" s="228">
        <v>0</v>
      </c>
      <c r="H15" s="13"/>
      <c r="I15" s="697"/>
      <c r="J15" s="12" t="str">
        <f t="shared" si="2"/>
        <v>Escalade</v>
      </c>
      <c r="K15" s="182">
        <f t="shared" ca="1" si="3"/>
        <v>0</v>
      </c>
      <c r="L15" s="13"/>
      <c r="M15" s="697"/>
      <c r="N15" s="12" t="str">
        <f t="shared" si="4"/>
        <v>Evaluation</v>
      </c>
      <c r="O15" s="188">
        <f t="shared" ca="1" si="5"/>
        <v>0</v>
      </c>
      <c r="P15" s="13"/>
      <c r="Q15" s="697"/>
      <c r="R15" s="12" t="str">
        <f t="shared" si="6"/>
        <v>Conduite d'attelage</v>
      </c>
      <c r="S15" s="188">
        <f t="shared" ca="1" si="7"/>
        <v>0</v>
      </c>
      <c r="T15" s="13"/>
      <c r="U15" s="697"/>
      <c r="X15" s="191"/>
      <c r="Y15" s="191"/>
      <c r="Z15" s="191"/>
      <c r="AA15" s="12" t="str">
        <f t="shared" ca="1" si="0"/>
        <v>Lire/Ecrire</v>
      </c>
      <c r="AB15" s="228">
        <v>40</v>
      </c>
      <c r="AC15" s="231"/>
      <c r="AD15" s="249"/>
      <c r="AE15" s="132"/>
      <c r="AF15" s="239"/>
      <c r="AG15" s="239"/>
      <c r="AH15" s="239"/>
      <c r="AI15" s="239"/>
      <c r="AJ15" s="239"/>
      <c r="AK15" s="239"/>
      <c r="AL15" s="239"/>
      <c r="AM15" s="243"/>
      <c r="AN15" s="243"/>
      <c r="AO15" s="71"/>
      <c r="AP15" s="71"/>
      <c r="AQ15" s="71"/>
      <c r="AR15" s="239"/>
      <c r="AS15" s="239"/>
      <c r="AT15" s="239"/>
      <c r="AU15" s="239"/>
      <c r="AV15" s="239"/>
      <c r="AW15" s="239"/>
      <c r="AX15" s="239"/>
      <c r="AY15" s="239"/>
      <c r="AZ15" s="239"/>
      <c r="BA15" s="239"/>
      <c r="BB15" s="239"/>
      <c r="BC15" s="239"/>
      <c r="BD15" s="237"/>
      <c r="BE15" s="191"/>
      <c r="BF15" s="191"/>
      <c r="BG15" s="191"/>
      <c r="BH15" s="191"/>
      <c r="BI15" s="191"/>
      <c r="BJ15" s="191"/>
      <c r="BK15" s="191"/>
      <c r="BL15" s="191"/>
      <c r="BM15" s="191"/>
      <c r="BN15" s="191"/>
      <c r="BO15" s="191"/>
      <c r="BP15" s="191"/>
      <c r="BQ15" s="191"/>
      <c r="BR15" s="191"/>
      <c r="BS15" s="191"/>
      <c r="BT15" s="191"/>
      <c r="BU15" s="191"/>
      <c r="BV15" s="191"/>
      <c r="BW15" s="191"/>
      <c r="BX15" s="191"/>
      <c r="BY15" s="191"/>
      <c r="BZ15" s="191"/>
      <c r="CA15" s="191"/>
      <c r="CB15" s="191"/>
      <c r="CC15" s="191"/>
      <c r="CD15" s="191"/>
      <c r="CE15" s="191"/>
      <c r="CF15" s="191"/>
      <c r="CG15" s="191"/>
      <c r="CH15" s="191"/>
      <c r="CI15" s="191"/>
      <c r="CJ15" s="191"/>
      <c r="CK15" s="191"/>
      <c r="CL15" s="191"/>
      <c r="CM15" s="191"/>
      <c r="CN15" s="191"/>
      <c r="CO15" s="191"/>
      <c r="CP15" s="191"/>
      <c r="CQ15" s="191"/>
    </row>
    <row r="16" spans="1:95">
      <c r="A16" s="661"/>
      <c r="B16" s="185"/>
      <c r="C16" s="185"/>
      <c r="D16" s="185"/>
      <c r="F16" s="12" t="str">
        <f t="shared" si="1"/>
        <v xml:space="preserve"> </v>
      </c>
      <c r="G16" s="228">
        <v>0</v>
      </c>
      <c r="H16" s="13"/>
      <c r="I16" s="697"/>
      <c r="J16" s="12" t="str">
        <f t="shared" si="2"/>
        <v>Natation</v>
      </c>
      <c r="K16" s="182">
        <f t="shared" ca="1" si="3"/>
        <v>0</v>
      </c>
      <c r="L16" s="13"/>
      <c r="M16" s="697"/>
      <c r="N16" s="12" t="str">
        <f t="shared" si="4"/>
        <v>Fouille</v>
      </c>
      <c r="O16" s="188">
        <f t="shared" ca="1" si="5"/>
        <v>0</v>
      </c>
      <c r="P16" s="13"/>
      <c r="Q16" s="697"/>
      <c r="R16" s="12" t="str">
        <f t="shared" si="6"/>
        <v>Evaluation</v>
      </c>
      <c r="S16" s="188">
        <f t="shared" ca="1" si="7"/>
        <v>1</v>
      </c>
      <c r="T16" s="13"/>
      <c r="U16" s="697"/>
      <c r="X16" s="191"/>
      <c r="Y16" s="191"/>
      <c r="Z16" s="191"/>
      <c r="AA16" s="12" t="e">
        <f t="shared" ca="1" si="0"/>
        <v>#REF!</v>
      </c>
      <c r="AB16" s="228">
        <v>43</v>
      </c>
      <c r="AC16" s="231"/>
      <c r="AD16" s="249"/>
      <c r="AE16" s="132"/>
      <c r="AF16" s="239"/>
      <c r="AG16" s="239"/>
      <c r="AH16" s="239"/>
      <c r="AI16" s="239"/>
      <c r="AJ16" s="239"/>
      <c r="AK16" s="239"/>
      <c r="AL16" s="239"/>
      <c r="AM16" s="243"/>
      <c r="AN16" s="243"/>
      <c r="AO16" s="71"/>
      <c r="AP16" s="71"/>
      <c r="AQ16" s="71"/>
      <c r="AR16" s="239"/>
      <c r="AS16" s="239"/>
      <c r="AT16" s="239"/>
      <c r="AU16" s="239"/>
      <c r="AV16" s="239"/>
      <c r="AW16" s="239"/>
      <c r="AX16" s="239"/>
      <c r="AY16" s="239"/>
      <c r="AZ16" s="239"/>
      <c r="BA16" s="239"/>
      <c r="BB16" s="239"/>
      <c r="BC16" s="239"/>
      <c r="BD16" s="237"/>
      <c r="BE16" s="191"/>
      <c r="BF16" s="191"/>
      <c r="BG16" s="191"/>
      <c r="BH16" s="191"/>
      <c r="BI16" s="191"/>
      <c r="BJ16" s="191"/>
      <c r="BK16" s="191"/>
      <c r="BL16" s="191"/>
      <c r="BM16" s="191"/>
      <c r="BN16" s="191"/>
      <c r="BO16" s="191"/>
      <c r="BP16" s="191"/>
      <c r="BQ16" s="191"/>
      <c r="BR16" s="191"/>
      <c r="BS16" s="191"/>
      <c r="BT16" s="191"/>
      <c r="BU16" s="191"/>
      <c r="BV16" s="191"/>
      <c r="BW16" s="191"/>
      <c r="BX16" s="191"/>
      <c r="BY16" s="191"/>
      <c r="BZ16" s="191"/>
      <c r="CA16" s="191"/>
      <c r="CB16" s="191"/>
      <c r="CC16" s="191"/>
      <c r="CD16" s="191"/>
      <c r="CE16" s="191"/>
      <c r="CF16" s="191"/>
      <c r="CG16" s="191"/>
      <c r="CH16" s="191"/>
      <c r="CI16" s="191"/>
      <c r="CJ16" s="191"/>
      <c r="CK16" s="191"/>
      <c r="CL16" s="191"/>
      <c r="CM16" s="191"/>
      <c r="CN16" s="191"/>
      <c r="CO16" s="191"/>
      <c r="CP16" s="191"/>
      <c r="CQ16" s="191"/>
    </row>
    <row r="17" spans="1:95">
      <c r="A17" s="661"/>
      <c r="B17" s="185"/>
      <c r="C17" s="185"/>
      <c r="D17" s="185"/>
      <c r="F17" s="12" t="str">
        <f t="shared" si="1"/>
        <v xml:space="preserve"> </v>
      </c>
      <c r="G17" s="228">
        <v>0</v>
      </c>
      <c r="H17" s="13"/>
      <c r="I17" s="697"/>
      <c r="J17" s="12" t="str">
        <f t="shared" si="2"/>
        <v>Perception</v>
      </c>
      <c r="K17" s="182">
        <f t="shared" ca="1" si="3"/>
        <v>0</v>
      </c>
      <c r="L17" s="13"/>
      <c r="M17" s="697"/>
      <c r="N17" s="12" t="str">
        <f t="shared" si="4"/>
        <v>Marchandage</v>
      </c>
      <c r="O17" s="188">
        <f t="shared" ca="1" si="5"/>
        <v>0</v>
      </c>
      <c r="P17" s="13"/>
      <c r="Q17" s="697"/>
      <c r="R17" s="12" t="str">
        <f t="shared" si="6"/>
        <v>Fouille</v>
      </c>
      <c r="S17" s="188">
        <f t="shared" ca="1" si="7"/>
        <v>1</v>
      </c>
      <c r="T17" s="13"/>
      <c r="U17" s="697"/>
      <c r="X17" s="191"/>
      <c r="Y17" s="191"/>
      <c r="Z17" s="191"/>
      <c r="AA17" s="12" t="e">
        <f t="shared" ca="1" si="0"/>
        <v>#REF!</v>
      </c>
      <c r="AB17" s="228">
        <v>46</v>
      </c>
      <c r="AC17" s="231"/>
      <c r="AD17" s="249"/>
      <c r="AE17" s="132"/>
      <c r="AF17" s="239"/>
      <c r="AG17" s="239"/>
      <c r="AH17" s="239"/>
      <c r="AI17" s="239"/>
      <c r="AJ17" s="239"/>
      <c r="AK17" s="239"/>
      <c r="AL17" s="239"/>
      <c r="AM17" s="243"/>
      <c r="AN17" s="243"/>
      <c r="AO17" s="71"/>
      <c r="AP17" s="71"/>
      <c r="AQ17" s="71"/>
      <c r="AR17" s="239"/>
      <c r="AS17" s="239"/>
      <c r="AT17" s="239"/>
      <c r="AU17" s="239"/>
      <c r="AV17" s="239"/>
      <c r="AW17" s="239"/>
      <c r="AX17" s="239"/>
      <c r="AY17" s="239"/>
      <c r="AZ17" s="239"/>
      <c r="BA17" s="239"/>
      <c r="BB17" s="239"/>
      <c r="BC17" s="239"/>
      <c r="BD17" s="237"/>
      <c r="BE17" s="191"/>
      <c r="BF17" s="191"/>
      <c r="BG17" s="191"/>
      <c r="BH17" s="191"/>
      <c r="BI17" s="191"/>
      <c r="BJ17" s="191"/>
      <c r="BK17" s="191"/>
      <c r="BL17" s="191"/>
      <c r="BM17" s="191"/>
      <c r="BN17" s="191"/>
      <c r="BO17" s="191"/>
      <c r="BP17" s="191"/>
      <c r="BQ17" s="191"/>
      <c r="BR17" s="191"/>
      <c r="BS17" s="191"/>
      <c r="BT17" s="191"/>
      <c r="BU17" s="191"/>
      <c r="BV17" s="191"/>
      <c r="BW17" s="191"/>
      <c r="BX17" s="191"/>
      <c r="BY17" s="191"/>
      <c r="BZ17" s="191"/>
      <c r="CA17" s="191"/>
      <c r="CB17" s="191"/>
      <c r="CC17" s="191"/>
      <c r="CD17" s="191"/>
      <c r="CE17" s="191"/>
      <c r="CF17" s="191"/>
      <c r="CG17" s="191"/>
      <c r="CH17" s="191"/>
      <c r="CI17" s="191"/>
      <c r="CJ17" s="191"/>
      <c r="CK17" s="191"/>
      <c r="CL17" s="191"/>
      <c r="CM17" s="191"/>
      <c r="CN17" s="191"/>
      <c r="CO17" s="191"/>
      <c r="CP17" s="191"/>
      <c r="CQ17" s="191"/>
    </row>
    <row r="18" spans="1:95">
      <c r="A18" s="661"/>
      <c r="B18" s="185"/>
      <c r="C18" s="185"/>
      <c r="D18" s="185"/>
      <c r="F18" s="12" t="str">
        <f t="shared" si="1"/>
        <v xml:space="preserve"> </v>
      </c>
      <c r="G18" s="228">
        <v>0</v>
      </c>
      <c r="H18" s="13"/>
      <c r="I18" s="697"/>
      <c r="J18" s="12" t="str">
        <f t="shared" si="2"/>
        <v>Résistance à l'alcool</v>
      </c>
      <c r="K18" s="182">
        <f t="shared" ca="1" si="3"/>
        <v>0</v>
      </c>
      <c r="L18" s="13"/>
      <c r="M18" s="697"/>
      <c r="N18" s="12" t="str">
        <f t="shared" si="4"/>
        <v>Perception</v>
      </c>
      <c r="O18" s="188">
        <f t="shared" ca="1" si="5"/>
        <v>1</v>
      </c>
      <c r="P18" s="13"/>
      <c r="Q18" s="697"/>
      <c r="R18" s="12" t="str">
        <f t="shared" si="6"/>
        <v>Marchandage</v>
      </c>
      <c r="S18" s="188">
        <f t="shared" ca="1" si="7"/>
        <v>1</v>
      </c>
      <c r="T18" s="13"/>
      <c r="U18" s="697"/>
      <c r="X18" s="191"/>
      <c r="Y18" s="191"/>
      <c r="Z18" s="191"/>
      <c r="AA18" s="12" t="e">
        <f t="shared" ca="1" si="0"/>
        <v>#REF!</v>
      </c>
      <c r="AB18" s="228">
        <v>49</v>
      </c>
      <c r="AC18" s="231"/>
      <c r="AD18" s="249"/>
      <c r="AE18" s="132"/>
      <c r="AF18" s="239"/>
      <c r="AG18" s="239"/>
      <c r="AH18" s="239"/>
      <c r="AI18" s="239"/>
      <c r="AJ18" s="239"/>
      <c r="AK18" s="239"/>
      <c r="AL18" s="239"/>
      <c r="AM18" s="243"/>
      <c r="AN18" s="243"/>
      <c r="AO18" s="71"/>
      <c r="AP18" s="71"/>
      <c r="AQ18" s="71"/>
      <c r="AR18" s="239"/>
      <c r="AS18" s="239"/>
      <c r="AT18" s="239"/>
      <c r="AU18" s="239"/>
      <c r="AV18" s="239"/>
      <c r="AW18" s="239"/>
      <c r="AX18" s="239"/>
      <c r="AY18" s="239"/>
      <c r="AZ18" s="239"/>
      <c r="BA18" s="239"/>
      <c r="BB18" s="239"/>
      <c r="BC18" s="239"/>
      <c r="BD18" s="237"/>
      <c r="BE18" s="191"/>
      <c r="BF18" s="191"/>
      <c r="BG18" s="191"/>
      <c r="BH18" s="191"/>
      <c r="BI18" s="191"/>
      <c r="BJ18" s="191"/>
      <c r="BK18" s="191"/>
      <c r="BL18" s="191"/>
      <c r="BM18" s="191"/>
      <c r="BN18" s="191"/>
      <c r="BO18" s="191"/>
      <c r="BP18" s="191"/>
      <c r="BQ18" s="191"/>
      <c r="BR18" s="191"/>
      <c r="BS18" s="191"/>
      <c r="BT18" s="191"/>
      <c r="BU18" s="191"/>
      <c r="BV18" s="191"/>
      <c r="BW18" s="191"/>
      <c r="BX18" s="191"/>
      <c r="BY18" s="191"/>
      <c r="BZ18" s="191"/>
      <c r="CA18" s="191"/>
      <c r="CB18" s="191"/>
      <c r="CC18" s="191"/>
      <c r="CD18" s="191"/>
      <c r="CE18" s="191"/>
      <c r="CF18" s="191"/>
      <c r="CG18" s="191"/>
      <c r="CH18" s="191"/>
      <c r="CI18" s="191"/>
      <c r="CJ18" s="191"/>
      <c r="CK18" s="191"/>
      <c r="CL18" s="191"/>
      <c r="CM18" s="191"/>
      <c r="CN18" s="191"/>
      <c r="CO18" s="191"/>
      <c r="CP18" s="191"/>
      <c r="CQ18" s="191"/>
    </row>
    <row r="19" spans="1:95">
      <c r="A19" s="661"/>
      <c r="B19" s="185"/>
      <c r="C19" s="185"/>
      <c r="D19" s="185"/>
      <c r="F19" s="12" t="str">
        <f t="shared" si="1"/>
        <v xml:space="preserve"> </v>
      </c>
      <c r="G19" s="228">
        <v>0</v>
      </c>
      <c r="H19" s="13"/>
      <c r="I19" s="697"/>
      <c r="J19" s="12" t="str">
        <f t="shared" si="2"/>
        <v xml:space="preserve"> </v>
      </c>
      <c r="K19" s="182">
        <f t="shared" ca="1" si="3"/>
        <v>72</v>
      </c>
      <c r="L19" s="13"/>
      <c r="M19" s="697"/>
      <c r="N19" s="12" t="str">
        <f t="shared" si="4"/>
        <v xml:space="preserve"> </v>
      </c>
      <c r="O19" s="188">
        <f t="shared" ca="1" si="5"/>
        <v>129</v>
      </c>
      <c r="P19" s="13"/>
      <c r="Q19" s="697"/>
      <c r="R19" s="12" t="str">
        <f t="shared" si="6"/>
        <v>Perception</v>
      </c>
      <c r="S19" s="188">
        <f t="shared" ca="1" si="7"/>
        <v>2</v>
      </c>
      <c r="T19" s="13"/>
      <c r="U19" s="697"/>
      <c r="X19" s="191"/>
      <c r="Y19" s="191"/>
      <c r="Z19" s="191"/>
      <c r="AA19" s="12" t="e">
        <f t="shared" ca="1" si="0"/>
        <v>#REF!</v>
      </c>
      <c r="AB19" s="228">
        <v>52</v>
      </c>
      <c r="AC19" s="231"/>
      <c r="AD19" s="249"/>
      <c r="AE19" s="132"/>
      <c r="AF19" s="239"/>
      <c r="AG19" s="239"/>
      <c r="AH19" s="239"/>
      <c r="AI19" s="239"/>
      <c r="AJ19" s="239"/>
      <c r="AK19" s="239"/>
      <c r="AL19" s="239"/>
      <c r="AM19" s="71"/>
      <c r="AN19" s="71"/>
      <c r="AO19" s="71"/>
      <c r="AP19" s="71"/>
      <c r="AQ19" s="71"/>
      <c r="AR19" s="239"/>
      <c r="AS19" s="239"/>
      <c r="AT19" s="239"/>
      <c r="AU19" s="239"/>
      <c r="AV19" s="239"/>
      <c r="AW19" s="239"/>
      <c r="AX19" s="239"/>
      <c r="AY19" s="239"/>
      <c r="AZ19" s="239"/>
      <c r="BA19" s="239"/>
      <c r="BB19" s="239"/>
      <c r="BC19" s="239"/>
      <c r="BD19" s="237"/>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c r="CK19" s="191"/>
      <c r="CL19" s="191"/>
      <c r="CM19" s="191"/>
      <c r="CN19" s="191"/>
      <c r="CO19" s="191"/>
      <c r="CP19" s="191"/>
      <c r="CQ19" s="191"/>
    </row>
    <row r="20" spans="1:95">
      <c r="A20" s="661"/>
      <c r="B20" s="185"/>
      <c r="C20" s="185"/>
      <c r="D20" s="185"/>
      <c r="F20" s="12" t="str">
        <f t="shared" si="1"/>
        <v xml:space="preserve"> </v>
      </c>
      <c r="G20" s="228">
        <v>0</v>
      </c>
      <c r="H20" s="13"/>
      <c r="I20" s="697"/>
      <c r="J20" s="12" t="str">
        <f t="shared" si="2"/>
        <v xml:space="preserve"> </v>
      </c>
      <c r="K20" s="182">
        <f t="shared" ca="1" si="3"/>
        <v>72</v>
      </c>
      <c r="L20" s="13"/>
      <c r="M20" s="697"/>
      <c r="N20" s="12" t="str">
        <f t="shared" si="4"/>
        <v xml:space="preserve"> </v>
      </c>
      <c r="O20" s="188">
        <f t="shared" ca="1" si="5"/>
        <v>129</v>
      </c>
      <c r="P20" s="13"/>
      <c r="Q20" s="697"/>
      <c r="R20" s="12" t="str">
        <f t="shared" si="6"/>
        <v>Soins des animaux</v>
      </c>
      <c r="S20" s="188">
        <f t="shared" ca="1" si="7"/>
        <v>0</v>
      </c>
      <c r="T20" s="13"/>
      <c r="U20" s="697"/>
      <c r="X20" s="191"/>
      <c r="Y20" s="191"/>
      <c r="Z20" s="191"/>
      <c r="AA20" s="12" t="e">
        <f t="shared" ca="1" si="0"/>
        <v>#REF!</v>
      </c>
      <c r="AB20" s="228">
        <v>55</v>
      </c>
      <c r="AC20" s="231"/>
      <c r="AD20" s="249"/>
      <c r="AE20" s="132"/>
      <c r="AF20" s="239"/>
      <c r="AG20" s="239"/>
      <c r="AH20" s="239"/>
      <c r="AI20" s="239"/>
      <c r="AJ20" s="239"/>
      <c r="AK20" s="239"/>
      <c r="AL20" s="239"/>
      <c r="AM20" s="71"/>
      <c r="AN20" s="71"/>
      <c r="AO20" s="71"/>
      <c r="AP20" s="71"/>
      <c r="AQ20" s="71"/>
      <c r="AR20" s="239"/>
      <c r="AS20" s="239"/>
      <c r="AT20" s="239"/>
      <c r="AU20" s="239"/>
      <c r="AV20" s="239"/>
      <c r="AW20" s="239"/>
      <c r="AX20" s="239"/>
      <c r="AY20" s="239"/>
      <c r="AZ20" s="239"/>
      <c r="BA20" s="239"/>
      <c r="BB20" s="239"/>
      <c r="BC20" s="239"/>
      <c r="BD20" s="237"/>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c r="CK20" s="191"/>
      <c r="CL20" s="191"/>
      <c r="CM20" s="191"/>
      <c r="CN20" s="191"/>
      <c r="CO20" s="191"/>
      <c r="CP20" s="191"/>
      <c r="CQ20" s="191"/>
    </row>
    <row r="21" spans="1:95">
      <c r="A21" s="661"/>
      <c r="B21" s="185"/>
      <c r="C21" s="185"/>
      <c r="D21" s="185"/>
      <c r="F21" s="12" t="str">
        <f t="shared" si="1"/>
        <v xml:space="preserve"> </v>
      </c>
      <c r="G21" s="228">
        <v>0</v>
      </c>
      <c r="H21" s="13"/>
      <c r="I21" s="697"/>
      <c r="J21" s="12" t="str">
        <f t="shared" si="2"/>
        <v xml:space="preserve"> </v>
      </c>
      <c r="K21" s="182">
        <f t="shared" ca="1" si="3"/>
        <v>72</v>
      </c>
      <c r="L21" s="13"/>
      <c r="M21" s="697"/>
      <c r="N21" s="12" t="str">
        <f t="shared" si="4"/>
        <v xml:space="preserve"> </v>
      </c>
      <c r="O21" s="188">
        <f t="shared" ca="1" si="5"/>
        <v>129</v>
      </c>
      <c r="P21" s="13"/>
      <c r="Q21" s="697"/>
      <c r="R21" s="12" t="str">
        <f t="shared" si="6"/>
        <v>Commérages</v>
      </c>
      <c r="S21" s="188">
        <f t="shared" ca="1" si="7"/>
        <v>2</v>
      </c>
      <c r="T21" s="13"/>
      <c r="U21" s="697"/>
      <c r="X21" s="191"/>
      <c r="Y21" s="191"/>
      <c r="Z21" s="191"/>
      <c r="AA21" s="12" t="e">
        <f t="shared" ca="1" si="0"/>
        <v>#REF!</v>
      </c>
      <c r="AB21" s="228">
        <v>58</v>
      </c>
      <c r="AC21" s="231"/>
      <c r="AD21" s="249"/>
      <c r="AE21" s="132"/>
      <c r="AF21" s="239"/>
      <c r="AG21" s="239"/>
      <c r="AH21" s="239"/>
      <c r="AI21" s="239"/>
      <c r="AJ21" s="239"/>
      <c r="AK21" s="239"/>
      <c r="AL21" s="239"/>
      <c r="AM21" s="71"/>
      <c r="AN21" s="71"/>
      <c r="AO21" s="71"/>
      <c r="AP21" s="71"/>
      <c r="AQ21" s="71"/>
      <c r="AR21" s="239"/>
      <c r="AS21" s="239"/>
      <c r="AT21" s="239"/>
      <c r="AU21" s="239"/>
      <c r="AV21" s="239"/>
      <c r="AW21" s="239"/>
      <c r="AX21" s="239"/>
      <c r="AY21" s="239"/>
      <c r="AZ21" s="239"/>
      <c r="BA21" s="239"/>
      <c r="BB21" s="239"/>
      <c r="BC21" s="239"/>
      <c r="BD21" s="237"/>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c r="CK21" s="191"/>
      <c r="CL21" s="191"/>
      <c r="CM21" s="191"/>
      <c r="CN21" s="191"/>
      <c r="CO21" s="191"/>
      <c r="CP21" s="191"/>
      <c r="CQ21" s="191"/>
    </row>
    <row r="22" spans="1:95">
      <c r="A22" s="661"/>
      <c r="B22" s="185"/>
      <c r="C22" s="185"/>
      <c r="D22" s="185"/>
      <c r="F22" s="12" t="str">
        <f t="shared" si="1"/>
        <v xml:space="preserve"> </v>
      </c>
      <c r="G22" s="228">
        <v>0</v>
      </c>
      <c r="H22" s="13"/>
      <c r="I22" s="697"/>
      <c r="J22" s="12" t="str">
        <f t="shared" si="2"/>
        <v xml:space="preserve"> </v>
      </c>
      <c r="K22" s="182">
        <f t="shared" ca="1" si="3"/>
        <v>72</v>
      </c>
      <c r="L22" s="13"/>
      <c r="M22" s="697"/>
      <c r="N22" s="12" t="str">
        <f t="shared" si="4"/>
        <v xml:space="preserve"> </v>
      </c>
      <c r="O22" s="188">
        <f t="shared" ca="1" si="5"/>
        <v>129</v>
      </c>
      <c r="P22" s="13"/>
      <c r="Q22" s="697"/>
      <c r="R22" s="12" t="str">
        <f t="shared" si="6"/>
        <v xml:space="preserve"> </v>
      </c>
      <c r="S22" s="188">
        <f t="shared" ca="1" si="7"/>
        <v>188</v>
      </c>
      <c r="T22" s="13"/>
      <c r="U22" s="697"/>
      <c r="X22" s="191"/>
      <c r="Y22" s="191"/>
      <c r="Z22" s="191"/>
      <c r="AA22" s="12" t="e">
        <f t="shared" ca="1" si="0"/>
        <v>#REF!</v>
      </c>
      <c r="AB22" s="228">
        <v>61</v>
      </c>
      <c r="AC22" s="231"/>
      <c r="AD22" s="249"/>
      <c r="AE22" s="132"/>
      <c r="AF22" s="239"/>
      <c r="AG22" s="239"/>
      <c r="AH22" s="239"/>
      <c r="AI22" s="239"/>
      <c r="AJ22" s="239"/>
      <c r="AK22" s="239"/>
      <c r="AL22" s="239"/>
      <c r="AM22" s="71"/>
      <c r="AN22" s="71"/>
      <c r="AO22" s="71"/>
      <c r="AP22" s="71"/>
      <c r="AQ22" s="71"/>
      <c r="AR22" s="239"/>
      <c r="AS22" s="239"/>
      <c r="AT22" s="239"/>
      <c r="AU22" s="239"/>
      <c r="AV22" s="239"/>
      <c r="AW22" s="239"/>
      <c r="AX22" s="239"/>
      <c r="AY22" s="239"/>
      <c r="AZ22" s="239"/>
      <c r="BA22" s="239"/>
      <c r="BB22" s="239"/>
      <c r="BC22" s="239"/>
      <c r="BD22" s="237"/>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c r="CB22" s="191"/>
      <c r="CC22" s="191"/>
      <c r="CD22" s="191"/>
      <c r="CE22" s="191"/>
      <c r="CF22" s="191"/>
      <c r="CG22" s="191"/>
      <c r="CH22" s="191"/>
      <c r="CI22" s="191"/>
      <c r="CJ22" s="191"/>
      <c r="CK22" s="191"/>
      <c r="CL22" s="191"/>
      <c r="CM22" s="191"/>
      <c r="CN22" s="191"/>
      <c r="CO22" s="191"/>
      <c r="CP22" s="191"/>
      <c r="CQ22" s="191"/>
    </row>
    <row r="23" spans="1:95">
      <c r="A23" s="661"/>
      <c r="B23" s="185"/>
      <c r="C23" s="185"/>
      <c r="D23" s="185"/>
      <c r="F23" s="12" t="str">
        <f t="shared" si="1"/>
        <v xml:space="preserve"> </v>
      </c>
      <c r="G23" s="228">
        <v>0</v>
      </c>
      <c r="H23" s="13"/>
      <c r="I23" s="697"/>
      <c r="J23" s="12" t="str">
        <f t="shared" si="2"/>
        <v xml:space="preserve"> </v>
      </c>
      <c r="K23" s="182">
        <f t="shared" ca="1" si="3"/>
        <v>72</v>
      </c>
      <c r="L23" s="13"/>
      <c r="M23" s="697"/>
      <c r="N23" s="12" t="str">
        <f t="shared" si="4"/>
        <v xml:space="preserve"> </v>
      </c>
      <c r="O23" s="188">
        <f t="shared" ca="1" si="5"/>
        <v>129</v>
      </c>
      <c r="P23" s="13"/>
      <c r="Q23" s="697"/>
      <c r="R23" s="12" t="str">
        <f t="shared" si="6"/>
        <v xml:space="preserve"> </v>
      </c>
      <c r="S23" s="188">
        <f t="shared" ca="1" si="7"/>
        <v>188</v>
      </c>
      <c r="T23" s="13"/>
      <c r="U23" s="697"/>
      <c r="X23" s="191"/>
      <c r="Y23" s="191"/>
      <c r="Z23" s="191"/>
      <c r="AA23" s="12" t="e">
        <f t="shared" ca="1" si="0"/>
        <v>#REF!</v>
      </c>
      <c r="AB23" s="228">
        <v>64</v>
      </c>
      <c r="AC23" s="231"/>
      <c r="AD23" s="249"/>
      <c r="AE23" s="132"/>
      <c r="AF23" s="239"/>
      <c r="AG23" s="239"/>
      <c r="AH23" s="239"/>
      <c r="AI23" s="239"/>
      <c r="AJ23" s="239"/>
      <c r="AK23" s="239"/>
      <c r="AL23" s="239"/>
      <c r="AM23" s="71"/>
      <c r="AN23" s="71"/>
      <c r="AO23" s="71"/>
      <c r="AP23" s="71"/>
      <c r="AQ23" s="71"/>
      <c r="AR23" s="239"/>
      <c r="AS23" s="239"/>
      <c r="AT23" s="239"/>
      <c r="AU23" s="239"/>
      <c r="AV23" s="239"/>
      <c r="AW23" s="239"/>
      <c r="AX23" s="239"/>
      <c r="AY23" s="239"/>
      <c r="AZ23" s="239"/>
      <c r="BA23" s="239"/>
      <c r="BB23" s="239"/>
      <c r="BC23" s="239"/>
      <c r="BD23" s="237"/>
      <c r="BE23" s="191"/>
      <c r="BF23" s="191"/>
      <c r="BG23" s="191"/>
      <c r="BH23" s="191"/>
      <c r="BI23" s="191"/>
      <c r="BJ23" s="191"/>
      <c r="BK23" s="191"/>
      <c r="BL23" s="191"/>
      <c r="BM23" s="191"/>
      <c r="BN23" s="191"/>
      <c r="BO23" s="191"/>
      <c r="BP23" s="191"/>
      <c r="BQ23" s="191"/>
      <c r="BR23" s="191"/>
      <c r="BS23" s="191"/>
      <c r="BT23" s="191"/>
      <c r="BU23" s="191"/>
      <c r="BV23" s="191"/>
      <c r="BW23" s="191"/>
      <c r="BX23" s="191"/>
      <c r="BY23" s="191"/>
      <c r="BZ23" s="191"/>
      <c r="CA23" s="191"/>
      <c r="CB23" s="191"/>
      <c r="CC23" s="191"/>
      <c r="CD23" s="191"/>
      <c r="CE23" s="191"/>
      <c r="CF23" s="191"/>
      <c r="CG23" s="191"/>
      <c r="CH23" s="191"/>
      <c r="CI23" s="191"/>
      <c r="CJ23" s="191"/>
      <c r="CK23" s="191"/>
      <c r="CL23" s="191"/>
      <c r="CM23" s="191"/>
      <c r="CN23" s="191"/>
      <c r="CO23" s="191"/>
      <c r="CP23" s="191"/>
      <c r="CQ23" s="191"/>
    </row>
    <row r="24" spans="1:95">
      <c r="A24" s="661"/>
      <c r="B24" s="185"/>
      <c r="C24" s="185"/>
      <c r="D24" s="185"/>
      <c r="F24" s="12" t="str">
        <f t="shared" si="1"/>
        <v xml:space="preserve"> </v>
      </c>
      <c r="G24" s="228">
        <v>0</v>
      </c>
      <c r="H24" s="13"/>
      <c r="I24" s="697"/>
      <c r="J24" s="12" t="str">
        <f t="shared" si="2"/>
        <v xml:space="preserve"> </v>
      </c>
      <c r="K24" s="182">
        <f t="shared" ca="1" si="3"/>
        <v>72</v>
      </c>
      <c r="L24" s="13"/>
      <c r="M24" s="697"/>
      <c r="N24" s="12" t="str">
        <f t="shared" si="4"/>
        <v xml:space="preserve"> </v>
      </c>
      <c r="O24" s="188">
        <f t="shared" ca="1" si="5"/>
        <v>129</v>
      </c>
      <c r="P24" s="13"/>
      <c r="Q24" s="697"/>
      <c r="R24" s="12" t="str">
        <f t="shared" si="6"/>
        <v xml:space="preserve"> </v>
      </c>
      <c r="S24" s="188">
        <f t="shared" ca="1" si="7"/>
        <v>188</v>
      </c>
      <c r="T24" s="13"/>
      <c r="U24" s="697"/>
      <c r="X24" s="191"/>
      <c r="Y24" s="191"/>
      <c r="Z24" s="191"/>
      <c r="AA24" s="12" t="e">
        <f t="shared" ca="1" si="0"/>
        <v>#REF!</v>
      </c>
      <c r="AB24" s="228">
        <v>67</v>
      </c>
      <c r="AC24" s="231"/>
      <c r="AD24" s="249"/>
      <c r="AE24" s="132"/>
      <c r="AF24" s="239"/>
      <c r="AG24" s="239"/>
      <c r="AH24" s="239"/>
      <c r="AI24" s="239"/>
      <c r="AJ24" s="239"/>
      <c r="AK24" s="239"/>
      <c r="AL24" s="239"/>
      <c r="AM24" s="71"/>
      <c r="AN24" s="71"/>
      <c r="AO24" s="71"/>
      <c r="AP24" s="71"/>
      <c r="AQ24" s="71"/>
      <c r="AR24" s="239"/>
      <c r="AS24" s="239"/>
      <c r="AT24" s="239"/>
      <c r="AU24" s="239"/>
      <c r="AV24" s="239"/>
      <c r="AW24" s="239"/>
      <c r="AX24" s="239"/>
      <c r="AY24" s="239"/>
      <c r="AZ24" s="239"/>
      <c r="BA24" s="239"/>
      <c r="BB24" s="239"/>
      <c r="BC24" s="239"/>
      <c r="BD24" s="237"/>
      <c r="BE24" s="191"/>
      <c r="BF24" s="191"/>
      <c r="BG24" s="191"/>
      <c r="BH24" s="191"/>
      <c r="BI24" s="191"/>
      <c r="BJ24" s="191"/>
      <c r="BK24" s="191"/>
      <c r="BL24" s="191"/>
      <c r="BM24" s="191"/>
      <c r="BN24" s="191"/>
      <c r="BO24" s="191"/>
      <c r="BP24" s="191"/>
      <c r="BQ24" s="191"/>
      <c r="BR24" s="191"/>
      <c r="BS24" s="191"/>
      <c r="BT24" s="191"/>
      <c r="BU24" s="191"/>
      <c r="BV24" s="191"/>
      <c r="BW24" s="191"/>
      <c r="BX24" s="191"/>
      <c r="BY24" s="191"/>
      <c r="BZ24" s="191"/>
      <c r="CA24" s="191"/>
      <c r="CB24" s="191"/>
      <c r="CC24" s="191"/>
      <c r="CD24" s="191"/>
      <c r="CE24" s="191"/>
      <c r="CF24" s="191"/>
      <c r="CG24" s="191"/>
      <c r="CH24" s="191"/>
      <c r="CI24" s="191"/>
      <c r="CJ24" s="191"/>
      <c r="CK24" s="191"/>
      <c r="CL24" s="191"/>
      <c r="CM24" s="191"/>
      <c r="CN24" s="191"/>
      <c r="CO24" s="191"/>
      <c r="CP24" s="191"/>
      <c r="CQ24" s="191"/>
    </row>
    <row r="25" spans="1:95">
      <c r="A25" s="661"/>
      <c r="B25" s="185"/>
      <c r="C25" s="185"/>
      <c r="D25" s="185"/>
      <c r="F25" s="12" t="str">
        <f t="shared" si="1"/>
        <v xml:space="preserve"> </v>
      </c>
      <c r="G25" s="228">
        <v>0</v>
      </c>
      <c r="H25" s="13"/>
      <c r="I25" s="697"/>
      <c r="J25" s="12" t="str">
        <f t="shared" si="2"/>
        <v xml:space="preserve"> </v>
      </c>
      <c r="K25" s="182">
        <f t="shared" ca="1" si="3"/>
        <v>72</v>
      </c>
      <c r="L25" s="13"/>
      <c r="M25" s="697"/>
      <c r="N25" s="12" t="str">
        <f t="shared" si="4"/>
        <v xml:space="preserve"> </v>
      </c>
      <c r="O25" s="188">
        <f t="shared" ca="1" si="5"/>
        <v>129</v>
      </c>
      <c r="P25" s="13"/>
      <c r="Q25" s="697"/>
      <c r="R25" s="12" t="str">
        <f t="shared" si="6"/>
        <v xml:space="preserve"> </v>
      </c>
      <c r="S25" s="188">
        <f t="shared" ca="1" si="7"/>
        <v>188</v>
      </c>
      <c r="T25" s="13"/>
      <c r="U25" s="697"/>
      <c r="X25" s="191"/>
      <c r="Y25" s="191"/>
      <c r="Z25" s="191"/>
      <c r="AA25" s="12" t="e">
        <f t="shared" ca="1" si="0"/>
        <v>#REF!</v>
      </c>
      <c r="AB25" s="228">
        <v>70</v>
      </c>
      <c r="AC25" s="231"/>
      <c r="AD25" s="249"/>
      <c r="AE25" s="132"/>
      <c r="AF25" s="239"/>
      <c r="AG25" s="239"/>
      <c r="AH25" s="239"/>
      <c r="AI25" s="239"/>
      <c r="AJ25" s="239"/>
      <c r="AK25" s="239"/>
      <c r="AL25" s="239"/>
      <c r="AM25" s="71"/>
      <c r="AN25" s="71"/>
      <c r="AO25" s="71"/>
      <c r="AP25" s="71"/>
      <c r="AQ25" s="71"/>
      <c r="AR25" s="239"/>
      <c r="AS25" s="239"/>
      <c r="AT25" s="239"/>
      <c r="AU25" s="239"/>
      <c r="AV25" s="239"/>
      <c r="AW25" s="239"/>
      <c r="AX25" s="239"/>
      <c r="AY25" s="239"/>
      <c r="AZ25" s="239"/>
      <c r="BA25" s="239"/>
      <c r="BB25" s="239"/>
      <c r="BC25" s="239"/>
      <c r="BD25" s="237"/>
      <c r="BE25" s="191"/>
      <c r="BF25" s="191"/>
      <c r="BG25" s="191"/>
      <c r="BH25" s="191"/>
      <c r="BI25" s="191"/>
      <c r="BJ25" s="191"/>
      <c r="BK25" s="191"/>
      <c r="BL25" s="191"/>
      <c r="BM25" s="191"/>
      <c r="BN25" s="191"/>
      <c r="BO25" s="191"/>
      <c r="BP25" s="191"/>
      <c r="BQ25" s="191"/>
      <c r="BR25" s="191"/>
      <c r="BS25" s="191"/>
      <c r="BT25" s="191"/>
      <c r="BU25" s="191"/>
      <c r="BV25" s="191"/>
      <c r="BW25" s="191"/>
      <c r="BX25" s="191"/>
      <c r="BY25" s="191"/>
      <c r="BZ25" s="191"/>
      <c r="CA25" s="191"/>
      <c r="CB25" s="191"/>
      <c r="CC25" s="191"/>
      <c r="CD25" s="191"/>
      <c r="CE25" s="191"/>
      <c r="CF25" s="191"/>
      <c r="CG25" s="191"/>
      <c r="CH25" s="191"/>
      <c r="CI25" s="191"/>
      <c r="CJ25" s="191"/>
      <c r="CK25" s="191"/>
      <c r="CL25" s="191"/>
      <c r="CM25" s="191"/>
      <c r="CN25" s="191"/>
      <c r="CO25" s="191"/>
      <c r="CP25" s="191"/>
      <c r="CQ25" s="191"/>
    </row>
    <row r="26" spans="1:95">
      <c r="A26" s="661"/>
      <c r="B26" s="185"/>
      <c r="C26" s="185"/>
      <c r="D26" s="185"/>
      <c r="F26" s="12" t="str">
        <f t="shared" si="1"/>
        <v xml:space="preserve"> </v>
      </c>
      <c r="G26" s="228">
        <v>0</v>
      </c>
      <c r="H26" s="13"/>
      <c r="I26" s="697"/>
      <c r="J26" s="12" t="str">
        <f t="shared" si="2"/>
        <v xml:space="preserve"> </v>
      </c>
      <c r="K26" s="182">
        <f t="shared" ca="1" si="3"/>
        <v>72</v>
      </c>
      <c r="L26" s="13"/>
      <c r="M26" s="697"/>
      <c r="N26" s="12" t="str">
        <f t="shared" si="4"/>
        <v xml:space="preserve"> </v>
      </c>
      <c r="O26" s="188">
        <f t="shared" ca="1" si="5"/>
        <v>129</v>
      </c>
      <c r="P26" s="13"/>
      <c r="Q26" s="697"/>
      <c r="R26" s="12" t="str">
        <f t="shared" si="6"/>
        <v xml:space="preserve"> </v>
      </c>
      <c r="S26" s="188">
        <f t="shared" ca="1" si="7"/>
        <v>188</v>
      </c>
      <c r="T26" s="13"/>
      <c r="U26" s="697"/>
      <c r="X26" s="191"/>
      <c r="Y26" s="191"/>
      <c r="Z26" s="191"/>
      <c r="AA26" s="12" t="e">
        <f t="shared" ca="1" si="0"/>
        <v>#REF!</v>
      </c>
      <c r="AB26" s="228">
        <v>73</v>
      </c>
      <c r="AC26" s="231"/>
      <c r="AD26" s="249"/>
      <c r="AE26" s="132"/>
      <c r="AF26" s="239"/>
      <c r="AG26" s="239"/>
      <c r="AH26" s="239"/>
      <c r="AI26" s="239"/>
      <c r="AJ26" s="239"/>
      <c r="AK26" s="239"/>
      <c r="AL26" s="239"/>
      <c r="AM26" s="71"/>
      <c r="AN26" s="71"/>
      <c r="AO26" s="71"/>
      <c r="AP26" s="71"/>
      <c r="AQ26" s="71"/>
      <c r="AR26" s="239"/>
      <c r="AS26" s="239"/>
      <c r="AT26" s="239"/>
      <c r="AU26" s="239"/>
      <c r="AV26" s="239"/>
      <c r="AW26" s="239"/>
      <c r="AX26" s="239"/>
      <c r="AY26" s="239"/>
      <c r="AZ26" s="239"/>
      <c r="BA26" s="239"/>
      <c r="BB26" s="239"/>
      <c r="BC26" s="239"/>
      <c r="BD26" s="237"/>
      <c r="BE26" s="191"/>
      <c r="BF26" s="191"/>
      <c r="BG26" s="191"/>
      <c r="BH26" s="191"/>
      <c r="BI26" s="191"/>
      <c r="BJ26" s="191"/>
      <c r="BK26" s="191"/>
      <c r="BL26" s="191"/>
      <c r="BM26" s="191"/>
      <c r="BN26" s="191"/>
      <c r="BO26" s="191"/>
      <c r="BP26" s="191"/>
      <c r="BQ26" s="191"/>
      <c r="BR26" s="191"/>
      <c r="BS26" s="191"/>
      <c r="BT26" s="191"/>
      <c r="BU26" s="191"/>
      <c r="BV26" s="191"/>
      <c r="BW26" s="191"/>
      <c r="BX26" s="191"/>
      <c r="BY26" s="191"/>
      <c r="BZ26" s="191"/>
      <c r="CA26" s="191"/>
      <c r="CB26" s="191"/>
      <c r="CC26" s="191"/>
      <c r="CD26" s="191"/>
      <c r="CE26" s="191"/>
      <c r="CF26" s="191"/>
      <c r="CG26" s="191"/>
      <c r="CH26" s="191"/>
      <c r="CI26" s="191"/>
      <c r="CJ26" s="191"/>
      <c r="CK26" s="191"/>
      <c r="CL26" s="191"/>
      <c r="CM26" s="191"/>
      <c r="CN26" s="191"/>
      <c r="CO26" s="191"/>
      <c r="CP26" s="191"/>
      <c r="CQ26" s="191"/>
    </row>
    <row r="27" spans="1:95">
      <c r="A27" s="661"/>
      <c r="B27" s="185"/>
      <c r="C27" s="185"/>
      <c r="D27" s="185"/>
      <c r="F27" s="12" t="str">
        <f t="shared" si="1"/>
        <v xml:space="preserve"> </v>
      </c>
      <c r="G27" s="228">
        <v>0</v>
      </c>
      <c r="H27" s="13"/>
      <c r="I27" s="697"/>
      <c r="J27" s="12" t="str">
        <f t="shared" si="2"/>
        <v xml:space="preserve"> </v>
      </c>
      <c r="K27" s="182">
        <f t="shared" ca="1" si="3"/>
        <v>72</v>
      </c>
      <c r="L27" s="13"/>
      <c r="M27" s="697"/>
      <c r="N27" s="12" t="str">
        <f t="shared" si="4"/>
        <v xml:space="preserve"> </v>
      </c>
      <c r="O27" s="188">
        <f t="shared" ca="1" si="5"/>
        <v>129</v>
      </c>
      <c r="P27" s="13"/>
      <c r="Q27" s="697"/>
      <c r="R27" s="12" t="str">
        <f t="shared" si="6"/>
        <v xml:space="preserve"> </v>
      </c>
      <c r="S27" s="188">
        <f t="shared" ca="1" si="7"/>
        <v>188</v>
      </c>
      <c r="T27" s="13"/>
      <c r="U27" s="697"/>
      <c r="X27" s="191"/>
      <c r="Y27" s="191"/>
      <c r="Z27" s="191"/>
      <c r="AA27" s="12" t="e">
        <f t="shared" ca="1" si="0"/>
        <v>#REF!</v>
      </c>
      <c r="AB27" s="228">
        <v>76</v>
      </c>
      <c r="AC27" s="231"/>
      <c r="AD27" s="249"/>
      <c r="AE27" s="132"/>
      <c r="AF27" s="239"/>
      <c r="AG27" s="239"/>
      <c r="AH27" s="239"/>
      <c r="AI27" s="239"/>
      <c r="AJ27" s="239"/>
      <c r="AK27" s="239"/>
      <c r="AL27" s="239"/>
      <c r="AM27" s="71"/>
      <c r="AN27" s="71"/>
      <c r="AO27" s="71"/>
      <c r="AP27" s="71"/>
      <c r="AQ27" s="71"/>
      <c r="AR27" s="239"/>
      <c r="AS27" s="239"/>
      <c r="AT27" s="239"/>
      <c r="AU27" s="239"/>
      <c r="AV27" s="239"/>
      <c r="AW27" s="239"/>
      <c r="AX27" s="239"/>
      <c r="AY27" s="239"/>
      <c r="AZ27" s="239"/>
      <c r="BA27" s="239"/>
      <c r="BB27" s="239"/>
      <c r="BC27" s="239"/>
      <c r="BD27" s="237"/>
      <c r="BE27" s="191"/>
      <c r="BF27" s="191"/>
      <c r="BG27" s="191"/>
      <c r="BH27" s="191"/>
      <c r="BI27" s="191"/>
      <c r="BJ27" s="191"/>
      <c r="BK27" s="191"/>
      <c r="BL27" s="191"/>
      <c r="BM27" s="191"/>
      <c r="BN27" s="191"/>
      <c r="BO27" s="191"/>
      <c r="BP27" s="191"/>
      <c r="BQ27" s="191"/>
      <c r="BR27" s="191"/>
      <c r="BS27" s="191"/>
      <c r="BT27" s="191"/>
      <c r="BU27" s="191"/>
      <c r="BV27" s="191"/>
      <c r="BW27" s="191"/>
      <c r="BX27" s="191"/>
      <c r="BY27" s="191"/>
      <c r="BZ27" s="191"/>
      <c r="CA27" s="191"/>
      <c r="CB27" s="191"/>
      <c r="CC27" s="191"/>
      <c r="CD27" s="191"/>
      <c r="CE27" s="191"/>
      <c r="CF27" s="191"/>
      <c r="CG27" s="191"/>
      <c r="CH27" s="191"/>
      <c r="CI27" s="191"/>
      <c r="CJ27" s="191"/>
      <c r="CK27" s="191"/>
      <c r="CL27" s="191"/>
      <c r="CM27" s="191"/>
      <c r="CN27" s="191"/>
      <c r="CO27" s="191"/>
      <c r="CP27" s="191"/>
      <c r="CQ27" s="191"/>
    </row>
    <row r="28" spans="1:95">
      <c r="A28" s="661"/>
      <c r="B28" s="185"/>
      <c r="C28" s="185"/>
      <c r="D28" s="185"/>
      <c r="F28" s="12" t="str">
        <f t="shared" si="1"/>
        <v xml:space="preserve"> </v>
      </c>
      <c r="G28" s="228">
        <v>0</v>
      </c>
      <c r="H28" s="13"/>
      <c r="I28" s="697"/>
      <c r="J28" s="12" t="str">
        <f t="shared" si="2"/>
        <v xml:space="preserve"> </v>
      </c>
      <c r="K28" s="182">
        <f t="shared" ca="1" si="3"/>
        <v>72</v>
      </c>
      <c r="L28" s="13"/>
      <c r="M28" s="697"/>
      <c r="N28" s="12" t="str">
        <f t="shared" si="4"/>
        <v xml:space="preserve"> </v>
      </c>
      <c r="O28" s="188">
        <f t="shared" ca="1" si="5"/>
        <v>129</v>
      </c>
      <c r="P28" s="13"/>
      <c r="Q28" s="697"/>
      <c r="R28" s="12" t="str">
        <f t="shared" si="6"/>
        <v xml:space="preserve"> </v>
      </c>
      <c r="S28" s="188">
        <f t="shared" ca="1" si="7"/>
        <v>188</v>
      </c>
      <c r="T28" s="13"/>
      <c r="U28" s="697"/>
      <c r="X28" s="191"/>
      <c r="Y28" s="191"/>
      <c r="Z28" s="191"/>
      <c r="AA28" s="12" t="e">
        <f t="shared" ca="1" si="0"/>
        <v>#REF!</v>
      </c>
      <c r="AB28" s="228">
        <v>79</v>
      </c>
      <c r="AC28" s="231"/>
      <c r="AD28" s="250"/>
      <c r="AE28" s="132"/>
      <c r="AM28" s="71"/>
      <c r="AN28" s="71"/>
      <c r="AO28" s="71"/>
      <c r="AP28" s="71"/>
      <c r="AQ28" s="71"/>
      <c r="AS28" s="237"/>
      <c r="AT28" s="237"/>
      <c r="AU28" s="237"/>
      <c r="AV28" s="237"/>
      <c r="AW28" s="237"/>
      <c r="AX28" s="237"/>
      <c r="AY28" s="237"/>
      <c r="AZ28" s="237"/>
      <c r="BA28" s="237"/>
      <c r="BB28" s="237"/>
      <c r="BC28" s="237"/>
      <c r="BD28" s="237"/>
      <c r="BE28" s="191"/>
      <c r="BF28" s="191"/>
      <c r="BG28" s="191"/>
      <c r="BH28" s="191"/>
      <c r="BI28" s="191"/>
      <c r="BJ28" s="191"/>
      <c r="BK28" s="191"/>
      <c r="BL28" s="191"/>
      <c r="BM28" s="191"/>
      <c r="BN28" s="191"/>
      <c r="BO28" s="191"/>
      <c r="BP28" s="191"/>
      <c r="BQ28" s="191"/>
      <c r="BR28" s="191"/>
      <c r="BS28" s="191"/>
      <c r="BT28" s="191"/>
      <c r="BU28" s="191"/>
      <c r="BV28" s="191"/>
      <c r="BW28" s="191"/>
      <c r="BX28" s="191"/>
      <c r="BY28" s="191"/>
      <c r="BZ28" s="191"/>
      <c r="CA28" s="191"/>
      <c r="CB28" s="191"/>
      <c r="CC28" s="191"/>
      <c r="CD28" s="191"/>
      <c r="CE28" s="191"/>
      <c r="CF28" s="191"/>
      <c r="CG28" s="191"/>
      <c r="CH28" s="191"/>
      <c r="CI28" s="191"/>
      <c r="CJ28" s="191"/>
      <c r="CK28" s="191"/>
      <c r="CL28" s="191"/>
      <c r="CM28" s="191"/>
      <c r="CN28" s="191"/>
      <c r="CO28" s="191"/>
      <c r="CP28" s="191"/>
      <c r="CQ28" s="191"/>
    </row>
    <row r="29" spans="1:95">
      <c r="A29" s="661"/>
      <c r="B29" s="185"/>
      <c r="C29" s="185"/>
      <c r="D29" s="185"/>
      <c r="F29" s="12" t="str">
        <f t="shared" si="1"/>
        <v xml:space="preserve"> </v>
      </c>
      <c r="G29" s="228">
        <v>0</v>
      </c>
      <c r="H29" s="13"/>
      <c r="I29" s="697"/>
      <c r="J29" s="12" t="str">
        <f t="shared" si="2"/>
        <v xml:space="preserve"> </v>
      </c>
      <c r="K29" s="182">
        <f t="shared" ca="1" si="3"/>
        <v>72</v>
      </c>
      <c r="L29" s="13"/>
      <c r="M29" s="697"/>
      <c r="N29" s="12" t="str">
        <f t="shared" si="4"/>
        <v xml:space="preserve"> </v>
      </c>
      <c r="O29" s="188">
        <f t="shared" ca="1" si="5"/>
        <v>129</v>
      </c>
      <c r="P29" s="13"/>
      <c r="Q29" s="697"/>
      <c r="R29" s="12" t="str">
        <f t="shared" si="6"/>
        <v xml:space="preserve"> </v>
      </c>
      <c r="S29" s="188">
        <f t="shared" ca="1" si="7"/>
        <v>188</v>
      </c>
      <c r="T29" s="13"/>
      <c r="U29" s="697"/>
      <c r="X29" s="191"/>
      <c r="Y29" s="191"/>
      <c r="Z29" s="191"/>
      <c r="AA29" s="12" t="e">
        <f t="shared" ca="1" si="0"/>
        <v>#REF!</v>
      </c>
      <c r="AB29" s="228">
        <v>82</v>
      </c>
      <c r="AC29" s="231"/>
      <c r="AD29" s="250"/>
      <c r="AE29" s="132"/>
      <c r="AM29" s="71"/>
      <c r="AN29" s="71"/>
      <c r="AO29" s="71"/>
      <c r="AP29" s="71"/>
      <c r="AQ29" s="71"/>
      <c r="AS29" s="237"/>
      <c r="AT29" s="237"/>
      <c r="AU29" s="237"/>
      <c r="AV29" s="237"/>
      <c r="AW29" s="237"/>
      <c r="AX29" s="237"/>
      <c r="AY29" s="237"/>
      <c r="AZ29" s="237"/>
      <c r="BA29" s="237"/>
      <c r="BB29" s="237"/>
      <c r="BC29" s="237"/>
      <c r="BD29" s="237"/>
      <c r="BE29" s="191"/>
      <c r="BF29" s="191"/>
      <c r="BG29" s="191"/>
      <c r="BH29" s="191"/>
      <c r="BI29" s="191"/>
      <c r="BJ29" s="191"/>
      <c r="BK29" s="191"/>
      <c r="BL29" s="191"/>
      <c r="BM29" s="191"/>
      <c r="BN29" s="191"/>
      <c r="BO29" s="191"/>
      <c r="BP29" s="191"/>
      <c r="BQ29" s="191"/>
      <c r="BR29" s="191"/>
      <c r="BS29" s="191"/>
      <c r="BT29" s="191"/>
      <c r="BU29" s="191"/>
      <c r="BV29" s="191"/>
      <c r="BW29" s="191"/>
      <c r="BX29" s="191"/>
      <c r="BY29" s="191"/>
      <c r="BZ29" s="191"/>
      <c r="CA29" s="191"/>
      <c r="CB29" s="191"/>
      <c r="CC29" s="191"/>
      <c r="CD29" s="191"/>
      <c r="CE29" s="191"/>
      <c r="CF29" s="191"/>
      <c r="CG29" s="191"/>
      <c r="CH29" s="191"/>
      <c r="CI29" s="191"/>
      <c r="CJ29" s="191"/>
      <c r="CK29" s="191"/>
      <c r="CL29" s="191"/>
      <c r="CM29" s="191"/>
      <c r="CN29" s="191"/>
      <c r="CO29" s="191"/>
      <c r="CP29" s="191"/>
      <c r="CQ29" s="191"/>
    </row>
    <row r="30" spans="1:95">
      <c r="A30" s="661"/>
      <c r="B30" s="185"/>
      <c r="C30" s="185"/>
      <c r="D30" s="185"/>
      <c r="F30" s="12" t="str">
        <f t="shared" si="1"/>
        <v xml:space="preserve"> </v>
      </c>
      <c r="G30" s="228">
        <v>0</v>
      </c>
      <c r="H30" s="13"/>
      <c r="I30" s="697"/>
      <c r="J30" s="12" t="str">
        <f t="shared" si="2"/>
        <v xml:space="preserve"> </v>
      </c>
      <c r="K30" s="182">
        <f t="shared" ca="1" si="3"/>
        <v>72</v>
      </c>
      <c r="L30" s="13"/>
      <c r="M30" s="697"/>
      <c r="N30" s="12" t="str">
        <f t="shared" si="4"/>
        <v xml:space="preserve"> </v>
      </c>
      <c r="O30" s="188">
        <f t="shared" ca="1" si="5"/>
        <v>129</v>
      </c>
      <c r="P30" s="13"/>
      <c r="Q30" s="697"/>
      <c r="R30" s="12" t="str">
        <f t="shared" si="6"/>
        <v xml:space="preserve"> </v>
      </c>
      <c r="S30" s="188">
        <f t="shared" ca="1" si="7"/>
        <v>188</v>
      </c>
      <c r="T30" s="13"/>
      <c r="U30" s="697"/>
      <c r="X30" s="191"/>
      <c r="Y30" s="191"/>
      <c r="Z30" s="191"/>
      <c r="AA30" s="12" t="e">
        <f t="shared" ca="1" si="0"/>
        <v>#REF!</v>
      </c>
      <c r="AB30" s="228">
        <v>85</v>
      </c>
      <c r="AC30" s="231"/>
      <c r="AD30" s="250"/>
      <c r="AE30" s="132"/>
      <c r="AM30" s="71"/>
      <c r="AN30" s="71"/>
      <c r="AO30" s="71"/>
      <c r="AP30" s="71"/>
      <c r="AQ30" s="71"/>
      <c r="AS30" s="237"/>
      <c r="AT30" s="237"/>
      <c r="AU30" s="237"/>
      <c r="AV30" s="237"/>
      <c r="AW30" s="237"/>
      <c r="AX30" s="237"/>
      <c r="AY30" s="237"/>
      <c r="AZ30" s="237"/>
      <c r="BA30" s="237"/>
      <c r="BB30" s="237"/>
      <c r="BC30" s="237"/>
      <c r="BD30" s="237"/>
      <c r="BE30" s="191"/>
      <c r="BF30" s="191"/>
      <c r="BG30" s="191"/>
      <c r="BH30" s="191"/>
      <c r="BI30" s="191"/>
      <c r="BJ30" s="191"/>
      <c r="BK30" s="191"/>
      <c r="BL30" s="191"/>
      <c r="BM30" s="191"/>
      <c r="BN30" s="191"/>
      <c r="BO30" s="191"/>
      <c r="BP30" s="191"/>
      <c r="BQ30" s="191"/>
      <c r="BR30" s="191"/>
      <c r="BS30" s="191"/>
      <c r="BT30" s="191"/>
      <c r="BU30" s="191"/>
      <c r="BV30" s="191"/>
      <c r="BW30" s="191"/>
      <c r="BX30" s="191"/>
      <c r="BY30" s="191"/>
      <c r="BZ30" s="191"/>
      <c r="CA30" s="191"/>
      <c r="CB30" s="191"/>
      <c r="CC30" s="191"/>
      <c r="CD30" s="191"/>
      <c r="CE30" s="191"/>
      <c r="CF30" s="191"/>
      <c r="CG30" s="191"/>
      <c r="CH30" s="191"/>
      <c r="CI30" s="191"/>
      <c r="CJ30" s="191"/>
      <c r="CK30" s="191"/>
      <c r="CL30" s="191"/>
      <c r="CM30" s="191"/>
      <c r="CN30" s="191"/>
      <c r="CO30" s="191"/>
      <c r="CP30" s="191"/>
      <c r="CQ30" s="191"/>
    </row>
    <row r="31" spans="1:95">
      <c r="A31" s="661"/>
      <c r="B31" s="185"/>
      <c r="C31" s="185"/>
      <c r="D31" s="185"/>
      <c r="F31" s="12" t="str">
        <f t="shared" si="1"/>
        <v xml:space="preserve"> </v>
      </c>
      <c r="G31" s="228">
        <v>0</v>
      </c>
      <c r="H31" s="13"/>
      <c r="I31" s="697"/>
      <c r="J31" s="12" t="str">
        <f t="shared" si="2"/>
        <v xml:space="preserve"> </v>
      </c>
      <c r="K31" s="182">
        <f t="shared" ca="1" si="3"/>
        <v>72</v>
      </c>
      <c r="L31" s="13"/>
      <c r="M31" s="697"/>
      <c r="N31" s="12" t="str">
        <f t="shared" si="4"/>
        <v xml:space="preserve"> </v>
      </c>
      <c r="O31" s="188">
        <f t="shared" ca="1" si="5"/>
        <v>129</v>
      </c>
      <c r="P31" s="13"/>
      <c r="Q31" s="697"/>
      <c r="R31" s="12" t="str">
        <f t="shared" si="6"/>
        <v xml:space="preserve"> </v>
      </c>
      <c r="S31" s="188">
        <f t="shared" ca="1" si="7"/>
        <v>188</v>
      </c>
      <c r="T31" s="13"/>
      <c r="U31" s="697"/>
      <c r="X31" s="191"/>
      <c r="Y31" s="191"/>
      <c r="Z31" s="191"/>
      <c r="AA31" s="12" t="e">
        <f t="shared" ca="1" si="0"/>
        <v>#REF!</v>
      </c>
      <c r="AB31" s="228">
        <v>88</v>
      </c>
      <c r="AC31" s="231"/>
      <c r="AD31" s="250"/>
      <c r="AE31" s="132"/>
      <c r="AM31" s="71"/>
      <c r="AN31" s="71"/>
      <c r="AO31" s="71"/>
      <c r="AP31" s="71"/>
      <c r="AQ31" s="71"/>
      <c r="AS31" s="237"/>
      <c r="AT31" s="237"/>
      <c r="AU31" s="237"/>
      <c r="AV31" s="237"/>
      <c r="AW31" s="237"/>
      <c r="AX31" s="237"/>
      <c r="AY31" s="237"/>
      <c r="AZ31" s="237"/>
      <c r="BA31" s="237"/>
      <c r="BB31" s="237"/>
      <c r="BC31" s="237"/>
      <c r="BD31" s="237"/>
      <c r="BE31" s="191"/>
      <c r="BF31" s="191"/>
      <c r="BG31" s="191"/>
      <c r="BH31" s="191"/>
      <c r="BI31" s="191"/>
      <c r="BJ31" s="191"/>
      <c r="BK31" s="191"/>
      <c r="BL31" s="191"/>
      <c r="BM31" s="191"/>
      <c r="BN31" s="191"/>
      <c r="BO31" s="191"/>
      <c r="BP31" s="191"/>
      <c r="BQ31" s="191"/>
      <c r="BR31" s="191"/>
      <c r="BS31" s="191"/>
      <c r="BT31" s="191"/>
      <c r="BU31" s="191"/>
      <c r="BV31" s="191"/>
      <c r="BW31" s="191"/>
      <c r="BX31" s="191"/>
      <c r="BY31" s="191"/>
      <c r="BZ31" s="191"/>
      <c r="CA31" s="191"/>
      <c r="CB31" s="191"/>
      <c r="CC31" s="191"/>
      <c r="CD31" s="191"/>
      <c r="CE31" s="191"/>
      <c r="CF31" s="191"/>
      <c r="CG31" s="191"/>
      <c r="CH31" s="191"/>
      <c r="CI31" s="191"/>
      <c r="CJ31" s="191"/>
      <c r="CK31" s="191"/>
      <c r="CL31" s="191"/>
      <c r="CM31" s="191"/>
      <c r="CN31" s="191"/>
      <c r="CO31" s="191"/>
      <c r="CP31" s="191"/>
      <c r="CQ31" s="191"/>
    </row>
    <row r="32" spans="1:95">
      <c r="A32" s="661"/>
      <c r="B32" s="185"/>
      <c r="C32" s="185"/>
      <c r="D32" s="185"/>
      <c r="F32" s="12" t="str">
        <f t="shared" si="1"/>
        <v xml:space="preserve"> </v>
      </c>
      <c r="G32" s="228">
        <v>0</v>
      </c>
      <c r="H32" s="13"/>
      <c r="I32" s="697"/>
      <c r="J32" s="12" t="str">
        <f t="shared" si="2"/>
        <v xml:space="preserve"> </v>
      </c>
      <c r="K32" s="182">
        <f t="shared" ca="1" si="3"/>
        <v>72</v>
      </c>
      <c r="L32" s="13"/>
      <c r="M32" s="697"/>
      <c r="N32" s="12" t="str">
        <f t="shared" si="4"/>
        <v xml:space="preserve"> </v>
      </c>
      <c r="O32" s="188">
        <f t="shared" ca="1" si="5"/>
        <v>129</v>
      </c>
      <c r="P32" s="13"/>
      <c r="Q32" s="697"/>
      <c r="R32" s="12" t="str">
        <f t="shared" si="6"/>
        <v xml:space="preserve"> </v>
      </c>
      <c r="S32" s="188">
        <f t="shared" ca="1" si="7"/>
        <v>188</v>
      </c>
      <c r="T32" s="13"/>
      <c r="U32" s="697"/>
      <c r="X32" s="191"/>
      <c r="Y32" s="191"/>
      <c r="Z32" s="191"/>
      <c r="AA32" s="12" t="e">
        <f t="shared" ca="1" si="0"/>
        <v>#REF!</v>
      </c>
      <c r="AB32" s="228">
        <v>91</v>
      </c>
      <c r="AC32" s="231"/>
      <c r="AD32" s="250"/>
      <c r="AE32" s="132"/>
      <c r="AM32" s="71"/>
      <c r="AN32" s="71"/>
      <c r="AO32" s="71"/>
      <c r="AP32" s="71"/>
      <c r="AQ32" s="71"/>
      <c r="AS32" s="237"/>
      <c r="AT32" s="237"/>
      <c r="AU32" s="237"/>
      <c r="AV32" s="237"/>
      <c r="AW32" s="237"/>
      <c r="AX32" s="237"/>
      <c r="AY32" s="237"/>
      <c r="AZ32" s="237"/>
      <c r="BA32" s="237"/>
      <c r="BB32" s="237"/>
      <c r="BC32" s="237"/>
      <c r="BD32" s="237"/>
      <c r="BE32" s="191"/>
      <c r="BF32" s="191"/>
      <c r="BG32" s="191"/>
      <c r="BH32" s="191"/>
      <c r="BI32" s="191"/>
      <c r="BJ32" s="191"/>
      <c r="BK32" s="191"/>
      <c r="BL32" s="191"/>
      <c r="BM32" s="191"/>
      <c r="BN32" s="191"/>
      <c r="BO32" s="191"/>
      <c r="BP32" s="191"/>
      <c r="BQ32" s="191"/>
      <c r="BR32" s="191"/>
      <c r="BS32" s="191"/>
      <c r="BT32" s="191"/>
      <c r="BU32" s="191"/>
      <c r="BV32" s="191"/>
      <c r="BW32" s="191"/>
      <c r="BX32" s="191"/>
      <c r="BY32" s="191"/>
      <c r="BZ32" s="191"/>
      <c r="CA32" s="191"/>
      <c r="CB32" s="191"/>
      <c r="CC32" s="191"/>
      <c r="CD32" s="191"/>
      <c r="CE32" s="191"/>
      <c r="CF32" s="191"/>
      <c r="CG32" s="191"/>
      <c r="CH32" s="191"/>
      <c r="CI32" s="191"/>
      <c r="CJ32" s="191"/>
      <c r="CK32" s="191"/>
      <c r="CL32" s="191"/>
      <c r="CM32" s="191"/>
      <c r="CN32" s="191"/>
      <c r="CO32" s="191"/>
      <c r="CP32" s="191"/>
      <c r="CQ32" s="191"/>
    </row>
    <row r="33" spans="1:95" s="186" customFormat="1" ht="15.75" thickBot="1">
      <c r="A33" s="662"/>
      <c r="F33" s="14" t="str">
        <f t="shared" si="1"/>
        <v xml:space="preserve"> </v>
      </c>
      <c r="G33" s="227">
        <v>0</v>
      </c>
      <c r="H33" s="16"/>
      <c r="I33" s="698"/>
      <c r="J33" s="14" t="str">
        <f t="shared" si="2"/>
        <v xml:space="preserve"> </v>
      </c>
      <c r="K33" s="181">
        <f t="shared" ca="1" si="3"/>
        <v>72</v>
      </c>
      <c r="L33" s="16"/>
      <c r="M33" s="698"/>
      <c r="N33" s="14" t="str">
        <f t="shared" si="4"/>
        <v xml:space="preserve"> </v>
      </c>
      <c r="O33" s="189">
        <f t="shared" ca="1" si="5"/>
        <v>129</v>
      </c>
      <c r="P33" s="16"/>
      <c r="Q33" s="698"/>
      <c r="R33" s="14" t="str">
        <f t="shared" si="6"/>
        <v xml:space="preserve"> </v>
      </c>
      <c r="S33" s="189">
        <f t="shared" ca="1" si="7"/>
        <v>188</v>
      </c>
      <c r="T33" s="16"/>
      <c r="U33" s="698"/>
      <c r="V33" s="191"/>
      <c r="W33" s="191"/>
      <c r="X33" s="191"/>
      <c r="Y33" s="191"/>
      <c r="Z33" s="191"/>
      <c r="AA33" s="14" t="e">
        <f t="shared" ca="1" si="0"/>
        <v>#REF!</v>
      </c>
      <c r="AB33" s="227">
        <v>94</v>
      </c>
      <c r="AC33" s="232"/>
      <c r="AD33" s="251"/>
      <c r="AE33" s="132"/>
      <c r="AF33" s="237"/>
      <c r="AG33" s="237"/>
      <c r="AH33" s="237"/>
      <c r="AI33" s="237"/>
      <c r="AJ33" s="237"/>
      <c r="AK33" s="237"/>
      <c r="AL33" s="237"/>
      <c r="AM33" s="71"/>
      <c r="AN33" s="71"/>
      <c r="AO33" s="71"/>
      <c r="AP33" s="71"/>
      <c r="AQ33" s="71"/>
      <c r="AR33" s="237"/>
      <c r="AS33" s="237"/>
      <c r="AT33" s="237"/>
      <c r="AU33" s="237"/>
      <c r="AV33" s="237"/>
      <c r="AW33" s="237"/>
      <c r="AX33" s="237"/>
      <c r="AY33" s="237"/>
      <c r="AZ33" s="237"/>
      <c r="BA33" s="237"/>
      <c r="BB33" s="237"/>
      <c r="BC33" s="237"/>
      <c r="BD33" s="237"/>
      <c r="BE33" s="191"/>
      <c r="BF33" s="191"/>
      <c r="BG33" s="191"/>
      <c r="BH33" s="191"/>
      <c r="BI33" s="191"/>
      <c r="BJ33" s="191"/>
      <c r="BK33" s="191"/>
      <c r="BL33" s="191"/>
      <c r="BM33" s="191"/>
      <c r="BN33" s="191"/>
      <c r="BO33" s="191"/>
      <c r="BP33" s="191"/>
      <c r="BQ33" s="191"/>
      <c r="BR33" s="191"/>
      <c r="BS33" s="191"/>
      <c r="BT33" s="191"/>
      <c r="BU33" s="191"/>
      <c r="BV33" s="191"/>
      <c r="BW33" s="191"/>
      <c r="BX33" s="191"/>
      <c r="BY33" s="191"/>
      <c r="BZ33" s="191"/>
      <c r="CA33" s="191"/>
      <c r="CB33" s="191"/>
      <c r="CC33" s="191"/>
      <c r="CD33" s="191"/>
      <c r="CE33" s="191"/>
      <c r="CF33" s="191"/>
      <c r="CG33" s="191"/>
      <c r="CH33" s="191"/>
      <c r="CI33" s="191"/>
      <c r="CJ33" s="191"/>
      <c r="CK33" s="191"/>
      <c r="CL33" s="191"/>
      <c r="CM33" s="191"/>
      <c r="CN33" s="191"/>
      <c r="CO33" s="191"/>
      <c r="CP33" s="191"/>
      <c r="CQ33" s="191"/>
    </row>
    <row r="34" spans="1:95" s="184" customFormat="1">
      <c r="A34" s="643" t="s">
        <v>799</v>
      </c>
      <c r="F34" s="9" t="str">
        <f t="shared" ref="F34:F51" si="8">CompetenceAvanceC0</f>
        <v>Connaissances générales (Empire)</v>
      </c>
      <c r="G34" s="226">
        <f>COUNTIF($E$1,F34)</f>
        <v>0</v>
      </c>
      <c r="H34" s="11" t="str">
        <f>IF(AND(G34=0,F34&lt;&gt;" "),"F34","")</f>
        <v>F34</v>
      </c>
      <c r="I34" s="696" t="str">
        <f>H52</f>
        <v>F34F35</v>
      </c>
      <c r="J34" s="9" t="str">
        <f t="shared" ref="J34:J51" si="9">CompetenceAvanceC1</f>
        <v>Connaissances générales (Bretonnie)</v>
      </c>
      <c r="K34" s="180">
        <f t="shared" ca="1" si="3"/>
        <v>0</v>
      </c>
      <c r="L34" s="11" t="str">
        <f ca="1">IF(AND(K34=0,J34&lt;&gt;" "),CONCATENATE(I34&amp;"J"&amp;ROW(J34)),I34)</f>
        <v>F34F35J34</v>
      </c>
      <c r="M34" s="696" t="str">
        <f ca="1">L52</f>
        <v>F34F35J34J35J36J37J38J39J40J41J42</v>
      </c>
      <c r="N34" s="9" t="str">
        <f t="shared" ref="N34:N51" si="10">CompetenceAvanceC2</f>
        <v>Baratin</v>
      </c>
      <c r="O34" s="187">
        <f t="shared" ca="1" si="5"/>
        <v>0</v>
      </c>
      <c r="P34" s="11" t="str">
        <f ca="1">IF(AND(O34=0,N35&lt;&gt;" "),CONCATENATE(M34&amp;"N"&amp;ROW(N34)),M34)</f>
        <v>F34F35J34J35J36J37J38J39J40J41J42N34</v>
      </c>
      <c r="Q34" s="696" t="str">
        <f ca="1">P52</f>
        <v>F34F35J34J35J36J37J38J39J40J41J42N34N35N39</v>
      </c>
      <c r="R34" s="9" t="str">
        <f t="shared" ref="R34:R51" si="11">CompetenceAvanceC3</f>
        <v>Connaissances générales (Empire)</v>
      </c>
      <c r="S34" s="187">
        <f t="shared" ca="1" si="7"/>
        <v>1</v>
      </c>
      <c r="T34" s="11" t="str">
        <f ca="1">IF(AND(S34=0,R34&lt;&gt;" "),CONCATENATE(Q34&amp;"R"&amp;ROW(R34)),Q34)</f>
        <v>F34F35J34J35J36J37J38J39J40J41J42N34N35N39</v>
      </c>
      <c r="U34" s="696" t="str">
        <f ca="1">T52</f>
        <v>F34F35J34J35J36J37J38J39J40J41J42N34N35N39</v>
      </c>
      <c r="V34" s="191"/>
      <c r="W34" s="191"/>
      <c r="X34" s="191"/>
      <c r="Y34" s="191"/>
      <c r="Z34" s="191"/>
      <c r="AA34" s="241"/>
      <c r="AB34" s="229"/>
      <c r="AC34" s="247"/>
      <c r="AD34" s="248"/>
      <c r="AE34" s="132"/>
      <c r="AF34" s="237"/>
      <c r="AG34" s="237"/>
      <c r="AH34" s="237"/>
      <c r="AI34" s="237"/>
      <c r="AJ34" s="237"/>
      <c r="AK34" s="237"/>
      <c r="AL34" s="237"/>
      <c r="AM34" s="71"/>
      <c r="AN34" s="71"/>
      <c r="AO34" s="71"/>
      <c r="AP34" s="71"/>
      <c r="AQ34" s="71"/>
      <c r="AR34" s="237"/>
      <c r="AS34" s="237"/>
      <c r="AT34" s="237"/>
      <c r="AU34" s="237"/>
      <c r="AV34" s="237"/>
      <c r="AW34" s="237"/>
      <c r="AX34" s="237"/>
      <c r="AY34" s="237"/>
      <c r="AZ34" s="237"/>
      <c r="BA34" s="237"/>
      <c r="BB34" s="237"/>
      <c r="BC34" s="237"/>
      <c r="BD34" s="237"/>
      <c r="BE34" s="191"/>
      <c r="BF34" s="191"/>
      <c r="BG34" s="191"/>
      <c r="BH34" s="191"/>
      <c r="BI34" s="191"/>
      <c r="BJ34" s="191"/>
      <c r="BK34" s="191"/>
      <c r="BL34" s="191"/>
      <c r="BM34" s="191"/>
      <c r="BN34" s="191"/>
      <c r="BO34" s="191"/>
      <c r="BP34" s="191"/>
      <c r="BQ34" s="191"/>
      <c r="BR34" s="191"/>
      <c r="BS34" s="191"/>
      <c r="BT34" s="191"/>
      <c r="BU34" s="191"/>
      <c r="BV34" s="191"/>
      <c r="BW34" s="191"/>
      <c r="BX34" s="191"/>
      <c r="BY34" s="191"/>
      <c r="BZ34" s="191"/>
      <c r="CA34" s="191"/>
      <c r="CB34" s="191"/>
      <c r="CC34" s="191"/>
      <c r="CD34" s="191"/>
      <c r="CE34" s="191"/>
      <c r="CF34" s="191"/>
      <c r="CG34" s="191"/>
      <c r="CH34" s="191"/>
      <c r="CI34" s="191"/>
      <c r="CJ34" s="191"/>
      <c r="CK34" s="191"/>
      <c r="CL34" s="191"/>
      <c r="CM34" s="191"/>
      <c r="CN34" s="191"/>
      <c r="CO34" s="191"/>
      <c r="CP34" s="191"/>
      <c r="CQ34" s="191"/>
    </row>
    <row r="35" spans="1:95">
      <c r="A35" s="644"/>
      <c r="B35" s="185"/>
      <c r="C35" s="185"/>
      <c r="D35" s="185"/>
      <c r="F35" s="12" t="str">
        <f t="shared" si="8"/>
        <v>Langue (Reikspiel)</v>
      </c>
      <c r="G35" s="228">
        <f t="shared" ref="G35:G52" si="12">COUNTIF($E$1,F35)</f>
        <v>0</v>
      </c>
      <c r="H35" s="13" t="str">
        <f>IF(AND(G35=0,F35&lt;&gt;" "),CONCATENATE(H34&amp;"F"&amp;ROW(F35)),H34)</f>
        <v>F34F35</v>
      </c>
      <c r="I35" s="697"/>
      <c r="J35" s="12" t="str">
        <f t="shared" si="9"/>
        <v>Connaissances générales (Norsca)</v>
      </c>
      <c r="K35" s="182">
        <f t="shared" ca="1" si="3"/>
        <v>0</v>
      </c>
      <c r="L35" s="13" t="str">
        <f ca="1">IF(AND(K35=0,J35&lt;&gt;" "),CONCATENATE(L34&amp;"J"&amp;ROW(J35)),L34)</f>
        <v>F34F35J34J35</v>
      </c>
      <c r="M35" s="697"/>
      <c r="N35" s="12" t="str">
        <f t="shared" si="10"/>
        <v>Connaissances académique (Généaologie/Héraldique)</v>
      </c>
      <c r="O35" s="188">
        <f t="shared" ca="1" si="5"/>
        <v>0</v>
      </c>
      <c r="P35" s="13" t="str">
        <f ca="1">IF(AND(O35=0,N35&lt;&gt;" "),CONCATENATE(P34&amp;"N"&amp;ROW(N35)),P34)</f>
        <v>F34F35J34J35J36J37J38J39J40J41J42N34N35</v>
      </c>
      <c r="Q35" s="697"/>
      <c r="R35" s="12" t="str">
        <f t="shared" si="11"/>
        <v xml:space="preserve"> </v>
      </c>
      <c r="S35" s="188">
        <f t="shared" ca="1" si="7"/>
        <v>188</v>
      </c>
      <c r="T35" s="13" t="str">
        <f ca="1">IF(AND(S35=0,R35&lt;&gt;" "),CONCATENATE(T34&amp;"R"&amp;ROW(R35)),T34)</f>
        <v>F34F35J34J35J36J37J38J39J40J41J42N34N35N39</v>
      </c>
      <c r="U35" s="697"/>
      <c r="X35" s="191"/>
      <c r="Y35" s="191"/>
      <c r="Z35" s="191"/>
      <c r="AA35" s="241"/>
      <c r="AC35" s="247"/>
      <c r="AD35" s="248"/>
      <c r="AE35" s="132"/>
      <c r="AM35" s="71"/>
      <c r="AN35" s="71"/>
      <c r="AO35" s="71"/>
      <c r="AP35" s="71"/>
      <c r="AQ35" s="71"/>
      <c r="AS35" s="237"/>
      <c r="AT35" s="237"/>
      <c r="AU35" s="237"/>
      <c r="AV35" s="237"/>
      <c r="AW35" s="237"/>
      <c r="AX35" s="237"/>
      <c r="AY35" s="237"/>
      <c r="AZ35" s="237"/>
      <c r="BA35" s="237"/>
      <c r="BB35" s="237"/>
      <c r="BC35" s="237"/>
      <c r="BD35" s="237"/>
      <c r="BE35" s="191"/>
      <c r="BF35" s="191"/>
      <c r="BG35" s="191"/>
      <c r="BH35" s="191"/>
      <c r="BI35" s="191"/>
      <c r="BJ35" s="191"/>
      <c r="BK35" s="191"/>
      <c r="BL35" s="191"/>
      <c r="BM35" s="191"/>
      <c r="BN35" s="191"/>
      <c r="BO35" s="191"/>
      <c r="BP35" s="191"/>
      <c r="BQ35" s="191"/>
      <c r="BR35" s="191"/>
      <c r="BS35" s="191"/>
      <c r="BT35" s="191"/>
      <c r="BU35" s="191"/>
      <c r="BV35" s="191"/>
      <c r="BW35" s="191"/>
      <c r="BX35" s="191"/>
      <c r="BY35" s="191"/>
      <c r="BZ35" s="191"/>
      <c r="CA35" s="191"/>
      <c r="CB35" s="191"/>
      <c r="CC35" s="191"/>
      <c r="CD35" s="191"/>
      <c r="CE35" s="191"/>
      <c r="CF35" s="191"/>
      <c r="CG35" s="191"/>
      <c r="CH35" s="191"/>
      <c r="CI35" s="191"/>
      <c r="CJ35" s="191"/>
      <c r="CK35" s="191"/>
      <c r="CL35" s="191"/>
      <c r="CM35" s="191"/>
      <c r="CN35" s="191"/>
      <c r="CO35" s="191"/>
      <c r="CP35" s="191"/>
      <c r="CQ35" s="191"/>
    </row>
    <row r="36" spans="1:95">
      <c r="A36" s="644"/>
      <c r="B36" s="185"/>
      <c r="C36" s="185"/>
      <c r="D36" s="185"/>
      <c r="F36" s="12" t="str">
        <f t="shared" si="8"/>
        <v xml:space="preserve"> </v>
      </c>
      <c r="G36" s="228">
        <f t="shared" si="12"/>
        <v>1</v>
      </c>
      <c r="H36" s="13" t="str">
        <f t="shared" ref="H36:H52" si="13">IF(AND(G36=0,F36&lt;&gt;" "),CONCATENATE(H35&amp;"F"&amp;ROW(F36)),H35)</f>
        <v>F34F35</v>
      </c>
      <c r="I36" s="697"/>
      <c r="J36" s="12" t="str">
        <f t="shared" si="9"/>
        <v>Connaissances générales (Pays perdu)</v>
      </c>
      <c r="K36" s="182">
        <f t="shared" ca="1" si="3"/>
        <v>0</v>
      </c>
      <c r="L36" s="13" t="str">
        <f t="shared" ref="L36:L52" ca="1" si="14">IF(AND(K36=0,J36&lt;&gt;" "),CONCATENATE(L35&amp;"J"&amp;ROW(J36)),L35)</f>
        <v>F34F35J34J35J36</v>
      </c>
      <c r="M36" s="697"/>
      <c r="N36" s="12">
        <f t="shared" si="10"/>
        <v>0</v>
      </c>
      <c r="O36" s="188">
        <f t="shared" ca="1" si="5"/>
        <v>81</v>
      </c>
      <c r="P36" s="13" t="str">
        <f t="shared" ref="P36:P52" ca="1" si="15">IF(AND(O36=0,N36&lt;&gt;" "),CONCATENATE(P35&amp;"N"&amp;ROW(N36)),P35)</f>
        <v>F34F35J34J35J36J37J38J39J40J41J42N34N35</v>
      </c>
      <c r="Q36" s="697"/>
      <c r="R36" s="12" t="str">
        <f t="shared" si="11"/>
        <v xml:space="preserve"> </v>
      </c>
      <c r="S36" s="188">
        <f t="shared" ca="1" si="7"/>
        <v>188</v>
      </c>
      <c r="T36" s="13" t="str">
        <f t="shared" ref="T36:T52" ca="1" si="16">IF(AND(S36=0,R36&lt;&gt;" "),CONCATENATE(T35&amp;"R"&amp;ROW(R36)),T35)</f>
        <v>F34F35J34J35J36J37J38J39J40J41J42N34N35N39</v>
      </c>
      <c r="U36" s="697"/>
      <c r="X36" s="191"/>
      <c r="Y36" s="191"/>
      <c r="Z36" s="191"/>
      <c r="AA36" s="241"/>
      <c r="AC36" s="247"/>
      <c r="AD36" s="248"/>
      <c r="AE36" s="132"/>
      <c r="AM36" s="71"/>
      <c r="AN36" s="71"/>
      <c r="AO36" s="71"/>
      <c r="AP36" s="71"/>
      <c r="AQ36" s="71"/>
      <c r="AS36" s="237"/>
      <c r="AT36" s="237"/>
      <c r="AU36" s="237"/>
      <c r="AV36" s="237"/>
      <c r="AW36" s="237"/>
      <c r="AX36" s="237"/>
      <c r="AY36" s="237"/>
      <c r="AZ36" s="237"/>
      <c r="BA36" s="237"/>
      <c r="BB36" s="237"/>
      <c r="BC36" s="237"/>
      <c r="BD36" s="237"/>
      <c r="BE36" s="191"/>
      <c r="BF36" s="191"/>
      <c r="BG36" s="191"/>
      <c r="BH36" s="191"/>
      <c r="BI36" s="191"/>
      <c r="BJ36" s="191"/>
      <c r="BK36" s="191"/>
      <c r="BL36" s="191"/>
      <c r="BM36" s="191"/>
      <c r="BN36" s="191"/>
      <c r="BO36" s="191"/>
      <c r="BP36" s="191"/>
      <c r="BQ36" s="191"/>
      <c r="BR36" s="191"/>
      <c r="BS36" s="191"/>
      <c r="BT36" s="191"/>
      <c r="BU36" s="191"/>
      <c r="BV36" s="191"/>
      <c r="BW36" s="191"/>
      <c r="BX36" s="191"/>
      <c r="BY36" s="191"/>
      <c r="BZ36" s="191"/>
      <c r="CA36" s="191"/>
      <c r="CB36" s="191"/>
      <c r="CC36" s="191"/>
      <c r="CD36" s="191"/>
      <c r="CE36" s="191"/>
      <c r="CF36" s="191"/>
      <c r="CG36" s="191"/>
      <c r="CH36" s="191"/>
      <c r="CI36" s="191"/>
      <c r="CJ36" s="191"/>
      <c r="CK36" s="191"/>
      <c r="CL36" s="191"/>
      <c r="CM36" s="191"/>
      <c r="CN36" s="191"/>
      <c r="CO36" s="191"/>
      <c r="CP36" s="191"/>
      <c r="CQ36" s="191"/>
    </row>
    <row r="37" spans="1:95">
      <c r="A37" s="644"/>
      <c r="B37" s="185"/>
      <c r="C37" s="185"/>
      <c r="D37" s="185"/>
      <c r="F37" s="12" t="str">
        <f t="shared" si="8"/>
        <v xml:space="preserve"> </v>
      </c>
      <c r="G37" s="228">
        <f t="shared" si="12"/>
        <v>1</v>
      </c>
      <c r="H37" s="13" t="str">
        <f t="shared" si="13"/>
        <v>F34F35</v>
      </c>
      <c r="I37" s="697"/>
      <c r="J37" s="12" t="str">
        <f t="shared" si="9"/>
        <v>Connaissances générales (Tilée)</v>
      </c>
      <c r="K37" s="182">
        <f t="shared" ca="1" si="3"/>
        <v>0</v>
      </c>
      <c r="L37" s="13" t="str">
        <f t="shared" ca="1" si="14"/>
        <v>F34F35J34J35J36J37</v>
      </c>
      <c r="M37" s="697"/>
      <c r="N37" s="12" t="str">
        <f t="shared" si="10"/>
        <v>Langue (Bretonnien)</v>
      </c>
      <c r="O37" s="188">
        <f t="shared" ca="1" si="5"/>
        <v>1</v>
      </c>
      <c r="P37" s="13" t="str">
        <f t="shared" ca="1" si="15"/>
        <v>F34F35J34J35J36J37J38J39J40J41J42N34N35</v>
      </c>
      <c r="Q37" s="697"/>
      <c r="R37" s="12" t="str">
        <f t="shared" si="11"/>
        <v xml:space="preserve"> </v>
      </c>
      <c r="S37" s="188">
        <f t="shared" ca="1" si="7"/>
        <v>188</v>
      </c>
      <c r="T37" s="13" t="str">
        <f t="shared" ca="1" si="16"/>
        <v>F34F35J34J35J36J37J38J39J40J41J42N34N35N39</v>
      </c>
      <c r="U37" s="697"/>
      <c r="X37" s="191"/>
      <c r="Y37" s="191"/>
      <c r="Z37" s="191"/>
      <c r="AA37" s="241"/>
      <c r="AC37" s="247"/>
      <c r="AD37" s="248"/>
      <c r="AE37" s="132"/>
      <c r="AM37" s="71"/>
      <c r="AN37" s="71"/>
      <c r="AO37" s="71"/>
      <c r="AP37" s="71"/>
      <c r="AQ37" s="71"/>
      <c r="AS37" s="237"/>
      <c r="AT37" s="237"/>
      <c r="AU37" s="237"/>
      <c r="AV37" s="237"/>
      <c r="AW37" s="237"/>
      <c r="AX37" s="237"/>
      <c r="AY37" s="237"/>
      <c r="AZ37" s="237"/>
      <c r="BA37" s="237"/>
      <c r="BB37" s="237"/>
      <c r="BC37" s="237"/>
      <c r="BD37" s="237"/>
      <c r="BE37" s="191"/>
      <c r="BF37" s="191"/>
      <c r="BG37" s="191"/>
      <c r="BH37" s="191"/>
      <c r="BI37" s="191"/>
      <c r="BJ37" s="191"/>
      <c r="BK37" s="191"/>
      <c r="BL37" s="191"/>
      <c r="BM37" s="191"/>
      <c r="BN37" s="191"/>
      <c r="BO37" s="191"/>
      <c r="BP37" s="191"/>
      <c r="BQ37" s="191"/>
      <c r="BR37" s="191"/>
      <c r="BS37" s="191"/>
      <c r="BT37" s="191"/>
      <c r="BU37" s="191"/>
      <c r="BV37" s="191"/>
      <c r="BW37" s="191"/>
      <c r="BX37" s="191"/>
      <c r="BY37" s="191"/>
      <c r="BZ37" s="191"/>
      <c r="CA37" s="191"/>
      <c r="CB37" s="191"/>
      <c r="CC37" s="191"/>
      <c r="CD37" s="191"/>
      <c r="CE37" s="191"/>
      <c r="CF37" s="191"/>
      <c r="CG37" s="191"/>
      <c r="CH37" s="191"/>
      <c r="CI37" s="191"/>
      <c r="CJ37" s="191"/>
      <c r="CK37" s="191"/>
      <c r="CL37" s="191"/>
      <c r="CM37" s="191"/>
      <c r="CN37" s="191"/>
      <c r="CO37" s="191"/>
      <c r="CP37" s="191"/>
      <c r="CQ37" s="191"/>
    </row>
    <row r="38" spans="1:95">
      <c r="A38" s="644"/>
      <c r="B38" s="185"/>
      <c r="C38" s="185"/>
      <c r="D38" s="185"/>
      <c r="F38" s="12" t="str">
        <f t="shared" si="8"/>
        <v xml:space="preserve"> </v>
      </c>
      <c r="G38" s="228">
        <f t="shared" si="12"/>
        <v>1</v>
      </c>
      <c r="H38" s="13" t="str">
        <f t="shared" si="13"/>
        <v>F34F35</v>
      </c>
      <c r="I38" s="697"/>
      <c r="J38" s="12" t="str">
        <f t="shared" si="9"/>
        <v>Esquive</v>
      </c>
      <c r="K38" s="182">
        <f t="shared" ca="1" si="3"/>
        <v>0</v>
      </c>
      <c r="L38" s="13" t="str">
        <f t="shared" ca="1" si="14"/>
        <v>F34F35J34J35J36J37J38</v>
      </c>
      <c r="M38" s="697"/>
      <c r="N38" s="12" t="str">
        <f t="shared" si="10"/>
        <v>Langue (Reikspiel)</v>
      </c>
      <c r="O38" s="188">
        <f t="shared" ca="1" si="5"/>
        <v>1</v>
      </c>
      <c r="P38" s="13" t="str">
        <f t="shared" ca="1" si="15"/>
        <v>F34F35J34J35J36J37J38J39J40J41J42N34N35</v>
      </c>
      <c r="Q38" s="697"/>
      <c r="R38" s="12" t="str">
        <f t="shared" si="11"/>
        <v xml:space="preserve"> </v>
      </c>
      <c r="S38" s="188">
        <f t="shared" ca="1" si="7"/>
        <v>188</v>
      </c>
      <c r="T38" s="13" t="str">
        <f t="shared" ca="1" si="16"/>
        <v>F34F35J34J35J36J37J38J39J40J41J42N34N35N39</v>
      </c>
      <c r="U38" s="697"/>
      <c r="X38" s="191"/>
      <c r="Y38" s="191"/>
      <c r="Z38" s="191"/>
      <c r="AA38" s="241"/>
      <c r="AC38" s="247"/>
      <c r="AD38" s="248"/>
      <c r="AE38" s="132"/>
      <c r="AM38" s="71"/>
      <c r="AN38" s="71"/>
      <c r="AO38" s="71"/>
      <c r="AP38" s="71"/>
      <c r="AQ38" s="71"/>
      <c r="AS38" s="237"/>
      <c r="AT38" s="237"/>
      <c r="AU38" s="237"/>
      <c r="AV38" s="237"/>
      <c r="AW38" s="237"/>
      <c r="AX38" s="237"/>
      <c r="AY38" s="237"/>
      <c r="AZ38" s="237"/>
      <c r="BA38" s="237"/>
      <c r="BB38" s="237"/>
      <c r="BC38" s="237"/>
      <c r="BD38" s="237"/>
      <c r="BE38" s="191"/>
      <c r="BF38" s="191"/>
      <c r="BG38" s="191"/>
      <c r="BH38" s="191"/>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191"/>
      <c r="CJ38" s="191"/>
      <c r="CK38" s="191"/>
      <c r="CL38" s="191"/>
      <c r="CM38" s="191"/>
      <c r="CN38" s="191"/>
      <c r="CO38" s="191"/>
      <c r="CP38" s="191"/>
      <c r="CQ38" s="191"/>
    </row>
    <row r="39" spans="1:95">
      <c r="A39" s="644"/>
      <c r="B39" s="185"/>
      <c r="C39" s="185"/>
      <c r="D39" s="185"/>
      <c r="F39" s="12" t="str">
        <f t="shared" si="8"/>
        <v xml:space="preserve"> </v>
      </c>
      <c r="G39" s="228">
        <f t="shared" si="12"/>
        <v>1</v>
      </c>
      <c r="H39" s="13" t="str">
        <f t="shared" si="13"/>
        <v>F34F35</v>
      </c>
      <c r="I39" s="697"/>
      <c r="J39" s="12" t="str">
        <f t="shared" si="9"/>
        <v>Langue (Bretonnien)</v>
      </c>
      <c r="K39" s="182">
        <f t="shared" ca="1" si="3"/>
        <v>0</v>
      </c>
      <c r="L39" s="13" t="str">
        <f t="shared" ca="1" si="14"/>
        <v>F34F35J34J35J36J37J38J39</v>
      </c>
      <c r="M39" s="697"/>
      <c r="N39" s="12" t="str">
        <f t="shared" si="10"/>
        <v>Lire/Ecrire</v>
      </c>
      <c r="O39" s="188">
        <f t="shared" ca="1" si="5"/>
        <v>0</v>
      </c>
      <c r="P39" s="13" t="str">
        <f t="shared" ca="1" si="15"/>
        <v>F34F35J34J35J36J37J38J39J40J41J42N34N35N39</v>
      </c>
      <c r="Q39" s="697"/>
      <c r="R39" s="12" t="str">
        <f t="shared" si="11"/>
        <v xml:space="preserve"> </v>
      </c>
      <c r="S39" s="188">
        <f t="shared" ca="1" si="7"/>
        <v>188</v>
      </c>
      <c r="T39" s="13" t="str">
        <f t="shared" ca="1" si="16"/>
        <v>F34F35J34J35J36J37J38J39J40J41J42N34N35N39</v>
      </c>
      <c r="U39" s="697"/>
      <c r="X39" s="191"/>
      <c r="Y39" s="191"/>
      <c r="Z39" s="191"/>
      <c r="AA39" s="241"/>
      <c r="AC39" s="247"/>
      <c r="AD39" s="248"/>
      <c r="AE39" s="132"/>
      <c r="AM39" s="71"/>
      <c r="AN39" s="71"/>
      <c r="AO39" s="71"/>
      <c r="AP39" s="71"/>
      <c r="AQ39" s="71"/>
      <c r="AS39" s="237"/>
      <c r="AT39" s="237"/>
      <c r="AU39" s="237"/>
      <c r="AV39" s="237"/>
      <c r="AW39" s="237"/>
      <c r="AX39" s="237"/>
      <c r="AY39" s="237"/>
      <c r="AZ39" s="237"/>
      <c r="BA39" s="237"/>
      <c r="BB39" s="237"/>
      <c r="BC39" s="237"/>
      <c r="BD39" s="237"/>
      <c r="BE39" s="191"/>
      <c r="BF39" s="191"/>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91"/>
      <c r="CC39" s="191"/>
      <c r="CD39" s="191"/>
      <c r="CE39" s="191"/>
      <c r="CF39" s="191"/>
      <c r="CG39" s="191"/>
      <c r="CH39" s="191"/>
      <c r="CI39" s="191"/>
      <c r="CJ39" s="191"/>
      <c r="CK39" s="191"/>
      <c r="CL39" s="191"/>
      <c r="CM39" s="191"/>
      <c r="CN39" s="191"/>
      <c r="CO39" s="191"/>
      <c r="CP39" s="191"/>
      <c r="CQ39" s="191"/>
    </row>
    <row r="40" spans="1:95">
      <c r="A40" s="644"/>
      <c r="B40" s="185"/>
      <c r="C40" s="185"/>
      <c r="D40" s="185"/>
      <c r="F40" s="12" t="str">
        <f t="shared" si="8"/>
        <v xml:space="preserve"> </v>
      </c>
      <c r="G40" s="228">
        <f t="shared" si="12"/>
        <v>1</v>
      </c>
      <c r="H40" s="13" t="str">
        <f t="shared" si="13"/>
        <v>F34F35</v>
      </c>
      <c r="I40" s="697"/>
      <c r="J40" s="12" t="str">
        <f t="shared" si="9"/>
        <v>Langue (Norsce)</v>
      </c>
      <c r="K40" s="182">
        <f t="shared" ca="1" si="3"/>
        <v>0</v>
      </c>
      <c r="L40" s="13" t="str">
        <f t="shared" ca="1" si="14"/>
        <v>F34F35J34J35J36J37J38J39J40</v>
      </c>
      <c r="M40" s="697"/>
      <c r="N40" s="12" t="str">
        <f t="shared" si="10"/>
        <v xml:space="preserve"> </v>
      </c>
      <c r="O40" s="188">
        <f t="shared" ca="1" si="5"/>
        <v>129</v>
      </c>
      <c r="P40" s="13" t="str">
        <f t="shared" ca="1" si="15"/>
        <v>F34F35J34J35J36J37J38J39J40J41J42N34N35N39</v>
      </c>
      <c r="Q40" s="697"/>
      <c r="R40" s="12" t="str">
        <f t="shared" si="11"/>
        <v xml:space="preserve"> </v>
      </c>
      <c r="S40" s="188">
        <f t="shared" ca="1" si="7"/>
        <v>188</v>
      </c>
      <c r="T40" s="13" t="str">
        <f t="shared" ca="1" si="16"/>
        <v>F34F35J34J35J36J37J38J39J40J41J42N34N35N39</v>
      </c>
      <c r="U40" s="697"/>
      <c r="X40" s="191"/>
      <c r="Y40" s="191"/>
      <c r="Z40" s="191"/>
      <c r="AA40" s="241"/>
      <c r="AC40" s="247"/>
      <c r="AD40" s="248"/>
      <c r="AE40" s="132"/>
      <c r="AM40" s="71"/>
      <c r="AN40" s="71"/>
      <c r="AO40" s="71"/>
      <c r="AP40" s="71"/>
      <c r="AQ40" s="71"/>
      <c r="AS40" s="237"/>
      <c r="AT40" s="237"/>
      <c r="AU40" s="237"/>
      <c r="AV40" s="237"/>
      <c r="AW40" s="237"/>
      <c r="AX40" s="237"/>
      <c r="AY40" s="237"/>
      <c r="AZ40" s="237"/>
      <c r="BA40" s="237"/>
      <c r="BB40" s="237"/>
      <c r="BC40" s="237"/>
      <c r="BD40" s="237"/>
      <c r="BE40" s="191"/>
      <c r="BF40" s="191"/>
      <c r="BG40" s="191"/>
      <c r="BH40" s="191"/>
      <c r="BI40" s="191"/>
      <c r="BJ40" s="191"/>
      <c r="BK40" s="191"/>
      <c r="BL40" s="191"/>
      <c r="BM40" s="191"/>
      <c r="BN40" s="191"/>
      <c r="BO40" s="191"/>
      <c r="BP40" s="191"/>
      <c r="BQ40" s="191"/>
      <c r="BR40" s="191"/>
      <c r="BS40" s="191"/>
      <c r="BT40" s="191"/>
      <c r="BU40" s="191"/>
      <c r="BV40" s="191"/>
      <c r="BW40" s="191"/>
      <c r="BX40" s="191"/>
      <c r="BY40" s="191"/>
      <c r="BZ40" s="191"/>
      <c r="CA40" s="191"/>
      <c r="CB40" s="191"/>
      <c r="CC40" s="191"/>
      <c r="CD40" s="191"/>
      <c r="CE40" s="191"/>
      <c r="CF40" s="191"/>
      <c r="CG40" s="191"/>
      <c r="CH40" s="191"/>
      <c r="CI40" s="191"/>
      <c r="CJ40" s="191"/>
      <c r="CK40" s="191"/>
      <c r="CL40" s="191"/>
      <c r="CM40" s="191"/>
      <c r="CN40" s="191"/>
      <c r="CO40" s="191"/>
      <c r="CP40" s="191"/>
      <c r="CQ40" s="191"/>
    </row>
    <row r="41" spans="1:95">
      <c r="A41" s="644"/>
      <c r="B41" s="185"/>
      <c r="C41" s="185"/>
      <c r="D41" s="185"/>
      <c r="F41" s="12" t="str">
        <f t="shared" si="8"/>
        <v xml:space="preserve"> </v>
      </c>
      <c r="G41" s="228">
        <f t="shared" si="12"/>
        <v>1</v>
      </c>
      <c r="H41" s="13" t="str">
        <f t="shared" si="13"/>
        <v>F34F35</v>
      </c>
      <c r="I41" s="697"/>
      <c r="J41" s="12" t="str">
        <f t="shared" si="9"/>
        <v>Langue (Tilée)</v>
      </c>
      <c r="K41" s="182">
        <f t="shared" ca="1" si="3"/>
        <v>0</v>
      </c>
      <c r="L41" s="13" t="str">
        <f t="shared" ca="1" si="14"/>
        <v>F34F35J34J35J36J37J38J39J40J41</v>
      </c>
      <c r="M41" s="697"/>
      <c r="N41" s="12" t="str">
        <f t="shared" si="10"/>
        <v xml:space="preserve"> </v>
      </c>
      <c r="O41" s="188">
        <f t="shared" ca="1" si="5"/>
        <v>129</v>
      </c>
      <c r="P41" s="13" t="str">
        <f t="shared" ca="1" si="15"/>
        <v>F34F35J34J35J36J37J38J39J40J41J42N34N35N39</v>
      </c>
      <c r="Q41" s="697"/>
      <c r="R41" s="12" t="str">
        <f t="shared" si="11"/>
        <v xml:space="preserve"> </v>
      </c>
      <c r="S41" s="188">
        <f t="shared" ca="1" si="7"/>
        <v>188</v>
      </c>
      <c r="T41" s="13" t="str">
        <f t="shared" ca="1" si="16"/>
        <v>F34F35J34J35J36J37J38J39J40J41J42N34N35N39</v>
      </c>
      <c r="U41" s="697"/>
      <c r="X41" s="191"/>
      <c r="Y41" s="191"/>
      <c r="Z41" s="191"/>
      <c r="AA41" s="241"/>
      <c r="AC41" s="247"/>
      <c r="AD41" s="248"/>
      <c r="AE41" s="132"/>
      <c r="AM41" s="71"/>
      <c r="AN41" s="71"/>
      <c r="AO41" s="71"/>
      <c r="AP41" s="71"/>
      <c r="AQ41" s="71"/>
      <c r="AS41" s="237"/>
      <c r="AT41" s="237"/>
      <c r="AU41" s="237"/>
      <c r="AV41" s="237"/>
      <c r="AW41" s="237"/>
      <c r="AX41" s="237"/>
      <c r="AY41" s="237"/>
      <c r="AZ41" s="237"/>
      <c r="BA41" s="237"/>
      <c r="BB41" s="237"/>
      <c r="BC41" s="237"/>
      <c r="BD41" s="237"/>
      <c r="BE41" s="191"/>
      <c r="BF41" s="191"/>
      <c r="BG41" s="191"/>
      <c r="BH41" s="191"/>
      <c r="BI41" s="191"/>
      <c r="BJ41" s="191"/>
      <c r="BK41" s="191"/>
      <c r="BL41" s="191"/>
      <c r="BM41" s="191"/>
      <c r="BN41" s="191"/>
      <c r="BO41" s="191"/>
      <c r="BP41" s="191"/>
      <c r="BQ41" s="191"/>
      <c r="BR41" s="191"/>
      <c r="BS41" s="191"/>
      <c r="BT41" s="191"/>
      <c r="BU41" s="191"/>
      <c r="BV41" s="191"/>
      <c r="BW41" s="191"/>
      <c r="BX41" s="191"/>
      <c r="BY41" s="191"/>
      <c r="BZ41" s="191"/>
      <c r="CA41" s="191"/>
      <c r="CB41" s="191"/>
      <c r="CC41" s="191"/>
      <c r="CD41" s="191"/>
      <c r="CE41" s="191"/>
      <c r="CF41" s="191"/>
      <c r="CG41" s="191"/>
      <c r="CH41" s="191"/>
      <c r="CI41" s="191"/>
      <c r="CJ41" s="191"/>
      <c r="CK41" s="191"/>
      <c r="CL41" s="191"/>
      <c r="CM41" s="191"/>
      <c r="CN41" s="191"/>
      <c r="CO41" s="191"/>
      <c r="CP41" s="191"/>
      <c r="CQ41" s="191"/>
    </row>
    <row r="42" spans="1:95">
      <c r="A42" s="644"/>
      <c r="B42" s="185"/>
      <c r="C42" s="185"/>
      <c r="D42" s="185"/>
      <c r="F42" s="12" t="str">
        <f t="shared" si="8"/>
        <v xml:space="preserve"> </v>
      </c>
      <c r="G42" s="228">
        <f t="shared" si="12"/>
        <v>1</v>
      </c>
      <c r="H42" s="13" t="str">
        <f t="shared" si="13"/>
        <v>F34F35</v>
      </c>
      <c r="I42" s="697"/>
      <c r="J42" s="12" t="str">
        <f t="shared" si="9"/>
        <v>Navigation</v>
      </c>
      <c r="K42" s="182">
        <f t="shared" ca="1" si="3"/>
        <v>0</v>
      </c>
      <c r="L42" s="13" t="str">
        <f t="shared" ca="1" si="14"/>
        <v>F34F35J34J35J36J37J38J39J40J41J42</v>
      </c>
      <c r="M42" s="697"/>
      <c r="N42" s="12" t="str">
        <f t="shared" si="10"/>
        <v xml:space="preserve"> </v>
      </c>
      <c r="O42" s="188">
        <f t="shared" ca="1" si="5"/>
        <v>129</v>
      </c>
      <c r="P42" s="13" t="str">
        <f t="shared" ca="1" si="15"/>
        <v>F34F35J34J35J36J37J38J39J40J41J42N34N35N39</v>
      </c>
      <c r="Q42" s="697"/>
      <c r="R42" s="12" t="str">
        <f t="shared" si="11"/>
        <v xml:space="preserve"> </v>
      </c>
      <c r="S42" s="188">
        <f t="shared" ca="1" si="7"/>
        <v>188</v>
      </c>
      <c r="T42" s="13" t="str">
        <f t="shared" ca="1" si="16"/>
        <v>F34F35J34J35J36J37J38J39J40J41J42N34N35N39</v>
      </c>
      <c r="U42" s="697"/>
      <c r="X42" s="191"/>
      <c r="Y42" s="191"/>
      <c r="Z42" s="191"/>
      <c r="AA42" s="241"/>
      <c r="AC42" s="247"/>
      <c r="AD42" s="248"/>
      <c r="AE42" s="132"/>
      <c r="AM42" s="71"/>
      <c r="AN42" s="71"/>
      <c r="AO42" s="71"/>
      <c r="AP42" s="71"/>
      <c r="AQ42" s="71"/>
      <c r="AS42" s="237"/>
      <c r="AT42" s="237"/>
      <c r="AU42" s="237"/>
      <c r="AV42" s="237"/>
      <c r="AW42" s="237"/>
      <c r="AX42" s="237"/>
      <c r="AY42" s="237"/>
      <c r="AZ42" s="237"/>
      <c r="BA42" s="237"/>
      <c r="BB42" s="237"/>
      <c r="BC42" s="237"/>
      <c r="BD42" s="237"/>
      <c r="BE42" s="191"/>
      <c r="BF42" s="191"/>
      <c r="BG42" s="191"/>
      <c r="BH42" s="191"/>
      <c r="BI42" s="191"/>
      <c r="BJ42" s="191"/>
      <c r="BK42" s="191"/>
      <c r="BL42" s="191"/>
      <c r="BM42" s="191"/>
      <c r="BN42" s="191"/>
      <c r="BO42" s="191"/>
      <c r="BP42" s="191"/>
      <c r="BQ42" s="191"/>
      <c r="BR42" s="191"/>
      <c r="BS42" s="191"/>
      <c r="BT42" s="191"/>
      <c r="BU42" s="191"/>
      <c r="BV42" s="191"/>
      <c r="BW42" s="191"/>
      <c r="BX42" s="191"/>
      <c r="BY42" s="191"/>
      <c r="BZ42" s="191"/>
      <c r="CA42" s="191"/>
      <c r="CB42" s="191"/>
      <c r="CC42" s="191"/>
      <c r="CD42" s="191"/>
      <c r="CE42" s="191"/>
      <c r="CF42" s="191"/>
      <c r="CG42" s="191"/>
      <c r="CH42" s="191"/>
      <c r="CI42" s="191"/>
      <c r="CJ42" s="191"/>
      <c r="CK42" s="191"/>
      <c r="CL42" s="191"/>
      <c r="CM42" s="191"/>
      <c r="CN42" s="191"/>
      <c r="CO42" s="191"/>
      <c r="CP42" s="191"/>
      <c r="CQ42" s="191"/>
    </row>
    <row r="43" spans="1:95">
      <c r="A43" s="644"/>
      <c r="B43" s="185"/>
      <c r="C43" s="185"/>
      <c r="D43" s="185"/>
      <c r="F43" s="12" t="str">
        <f t="shared" si="8"/>
        <v xml:space="preserve"> </v>
      </c>
      <c r="G43" s="228">
        <f t="shared" si="12"/>
        <v>1</v>
      </c>
      <c r="H43" s="13" t="str">
        <f t="shared" si="13"/>
        <v>F34F35</v>
      </c>
      <c r="I43" s="697"/>
      <c r="J43" s="12" t="str">
        <f t="shared" si="9"/>
        <v xml:space="preserve"> </v>
      </c>
      <c r="K43" s="182">
        <f t="shared" ca="1" si="3"/>
        <v>72</v>
      </c>
      <c r="L43" s="13" t="str">
        <f t="shared" ca="1" si="14"/>
        <v>F34F35J34J35J36J37J38J39J40J41J42</v>
      </c>
      <c r="M43" s="697"/>
      <c r="N43" s="12" t="str">
        <f t="shared" si="10"/>
        <v xml:space="preserve"> </v>
      </c>
      <c r="O43" s="188">
        <f t="shared" ca="1" si="5"/>
        <v>129</v>
      </c>
      <c r="P43" s="13" t="str">
        <f t="shared" ca="1" si="15"/>
        <v>F34F35J34J35J36J37J38J39J40J41J42N34N35N39</v>
      </c>
      <c r="Q43" s="697"/>
      <c r="R43" s="12" t="str">
        <f t="shared" si="11"/>
        <v xml:space="preserve"> </v>
      </c>
      <c r="S43" s="188">
        <f t="shared" ca="1" si="7"/>
        <v>188</v>
      </c>
      <c r="T43" s="13" t="str">
        <f t="shared" ca="1" si="16"/>
        <v>F34F35J34J35J36J37J38J39J40J41J42N34N35N39</v>
      </c>
      <c r="U43" s="697"/>
      <c r="X43" s="191"/>
      <c r="Y43" s="191"/>
      <c r="Z43" s="191"/>
      <c r="AA43" s="241"/>
      <c r="AC43" s="247"/>
      <c r="AD43" s="248"/>
      <c r="AE43" s="132"/>
      <c r="AM43" s="71"/>
      <c r="AN43" s="71"/>
      <c r="AO43" s="71"/>
      <c r="AP43" s="71"/>
      <c r="AQ43" s="71"/>
      <c r="AS43" s="237"/>
      <c r="AT43" s="237"/>
      <c r="AU43" s="237"/>
      <c r="AV43" s="237"/>
      <c r="AW43" s="237"/>
      <c r="AX43" s="237"/>
      <c r="AY43" s="237"/>
      <c r="AZ43" s="237"/>
      <c r="BA43" s="237"/>
      <c r="BB43" s="237"/>
      <c r="BC43" s="237"/>
      <c r="BD43" s="237"/>
      <c r="BE43" s="191"/>
      <c r="BF43" s="191"/>
      <c r="BG43" s="191"/>
      <c r="BH43" s="191"/>
      <c r="BI43" s="191"/>
      <c r="BJ43" s="191"/>
      <c r="BK43" s="191"/>
      <c r="BL43" s="191"/>
      <c r="BM43" s="191"/>
      <c r="BN43" s="191"/>
      <c r="BO43" s="191"/>
      <c r="BP43" s="191"/>
      <c r="BQ43" s="191"/>
      <c r="BR43" s="191"/>
      <c r="BS43" s="191"/>
      <c r="BT43" s="191"/>
      <c r="BU43" s="191"/>
      <c r="BV43" s="191"/>
      <c r="BW43" s="191"/>
      <c r="BX43" s="191"/>
      <c r="BY43" s="191"/>
      <c r="BZ43" s="191"/>
      <c r="CA43" s="191"/>
      <c r="CB43" s="191"/>
      <c r="CC43" s="191"/>
      <c r="CD43" s="191"/>
      <c r="CE43" s="191"/>
      <c r="CF43" s="191"/>
      <c r="CG43" s="191"/>
      <c r="CH43" s="191"/>
      <c r="CI43" s="191"/>
      <c r="CJ43" s="191"/>
      <c r="CK43" s="191"/>
      <c r="CL43" s="191"/>
      <c r="CM43" s="191"/>
      <c r="CN43" s="191"/>
      <c r="CO43" s="191"/>
      <c r="CP43" s="191"/>
      <c r="CQ43" s="191"/>
    </row>
    <row r="44" spans="1:95">
      <c r="A44" s="644"/>
      <c r="B44" s="185"/>
      <c r="C44" s="185"/>
      <c r="D44" s="185"/>
      <c r="F44" s="12" t="str">
        <f t="shared" si="8"/>
        <v xml:space="preserve"> </v>
      </c>
      <c r="G44" s="228">
        <f t="shared" si="12"/>
        <v>1</v>
      </c>
      <c r="H44" s="13" t="str">
        <f t="shared" si="13"/>
        <v>F34F35</v>
      </c>
      <c r="I44" s="697"/>
      <c r="J44" s="12" t="str">
        <f t="shared" si="9"/>
        <v xml:space="preserve"> </v>
      </c>
      <c r="K44" s="182">
        <f t="shared" ca="1" si="3"/>
        <v>72</v>
      </c>
      <c r="L44" s="13" t="str">
        <f t="shared" ca="1" si="14"/>
        <v>F34F35J34J35J36J37J38J39J40J41J42</v>
      </c>
      <c r="M44" s="697"/>
      <c r="N44" s="12" t="str">
        <f t="shared" si="10"/>
        <v xml:space="preserve"> </v>
      </c>
      <c r="O44" s="188">
        <f t="shared" ca="1" si="5"/>
        <v>129</v>
      </c>
      <c r="P44" s="13" t="str">
        <f t="shared" ca="1" si="15"/>
        <v>F34F35J34J35J36J37J38J39J40J41J42N34N35N39</v>
      </c>
      <c r="Q44" s="697"/>
      <c r="R44" s="12" t="str">
        <f t="shared" si="11"/>
        <v xml:space="preserve"> </v>
      </c>
      <c r="S44" s="188">
        <f t="shared" ca="1" si="7"/>
        <v>188</v>
      </c>
      <c r="T44" s="13" t="str">
        <f t="shared" ca="1" si="16"/>
        <v>F34F35J34J35J36J37J38J39J40J41J42N34N35N39</v>
      </c>
      <c r="U44" s="697"/>
      <c r="X44" s="191"/>
      <c r="Y44" s="191"/>
      <c r="Z44" s="191"/>
      <c r="AA44" s="241"/>
      <c r="AC44" s="247"/>
      <c r="AD44" s="248"/>
      <c r="AE44" s="132"/>
      <c r="AM44" s="71"/>
      <c r="AN44" s="71"/>
      <c r="AO44" s="71"/>
      <c r="AP44" s="71"/>
      <c r="AQ44" s="71"/>
      <c r="AS44" s="237"/>
      <c r="AT44" s="237"/>
      <c r="AU44" s="237"/>
      <c r="AV44" s="237"/>
      <c r="AW44" s="237"/>
      <c r="AX44" s="237"/>
      <c r="AY44" s="237"/>
      <c r="AZ44" s="237"/>
      <c r="BA44" s="237"/>
      <c r="BB44" s="237"/>
      <c r="BC44" s="237"/>
      <c r="BD44" s="237"/>
      <c r="BE44" s="191"/>
      <c r="BF44" s="191"/>
      <c r="BG44" s="191"/>
      <c r="BH44" s="191"/>
      <c r="BI44" s="191"/>
      <c r="BJ44" s="191"/>
      <c r="BK44" s="191"/>
      <c r="BL44" s="191"/>
      <c r="BM44" s="191"/>
      <c r="BN44" s="191"/>
      <c r="BO44" s="191"/>
      <c r="BP44" s="191"/>
      <c r="BQ44" s="191"/>
      <c r="BR44" s="191"/>
      <c r="BS44" s="191"/>
      <c r="BT44" s="191"/>
      <c r="BU44" s="191"/>
      <c r="BV44" s="191"/>
      <c r="BW44" s="191"/>
      <c r="BX44" s="191"/>
      <c r="BY44" s="191"/>
      <c r="BZ44" s="191"/>
      <c r="CA44" s="191"/>
      <c r="CB44" s="191"/>
      <c r="CC44" s="191"/>
      <c r="CD44" s="191"/>
      <c r="CE44" s="191"/>
      <c r="CF44" s="191"/>
      <c r="CG44" s="191"/>
      <c r="CH44" s="191"/>
      <c r="CI44" s="191"/>
      <c r="CJ44" s="191"/>
      <c r="CK44" s="191"/>
      <c r="CL44" s="191"/>
      <c r="CM44" s="191"/>
      <c r="CN44" s="191"/>
      <c r="CO44" s="191"/>
      <c r="CP44" s="191"/>
      <c r="CQ44" s="191"/>
    </row>
    <row r="45" spans="1:95">
      <c r="A45" s="644"/>
      <c r="B45" s="185"/>
      <c r="C45" s="185"/>
      <c r="D45" s="185"/>
      <c r="F45" s="12" t="str">
        <f t="shared" si="8"/>
        <v xml:space="preserve"> </v>
      </c>
      <c r="G45" s="228">
        <f t="shared" si="12"/>
        <v>1</v>
      </c>
      <c r="H45" s="13" t="str">
        <f t="shared" si="13"/>
        <v>F34F35</v>
      </c>
      <c r="I45" s="697"/>
      <c r="J45" s="12" t="str">
        <f t="shared" si="9"/>
        <v xml:space="preserve"> </v>
      </c>
      <c r="K45" s="182">
        <f t="shared" ca="1" si="3"/>
        <v>72</v>
      </c>
      <c r="L45" s="13" t="str">
        <f t="shared" ca="1" si="14"/>
        <v>F34F35J34J35J36J37J38J39J40J41J42</v>
      </c>
      <c r="M45" s="697"/>
      <c r="N45" s="12" t="str">
        <f t="shared" si="10"/>
        <v xml:space="preserve"> </v>
      </c>
      <c r="O45" s="188">
        <f t="shared" ca="1" si="5"/>
        <v>129</v>
      </c>
      <c r="P45" s="13" t="str">
        <f t="shared" ca="1" si="15"/>
        <v>F34F35J34J35J36J37J38J39J40J41J42N34N35N39</v>
      </c>
      <c r="Q45" s="697"/>
      <c r="R45" s="12" t="str">
        <f t="shared" si="11"/>
        <v xml:space="preserve"> </v>
      </c>
      <c r="S45" s="188">
        <f t="shared" ca="1" si="7"/>
        <v>188</v>
      </c>
      <c r="T45" s="13" t="str">
        <f t="shared" ca="1" si="16"/>
        <v>F34F35J34J35J36J37J38J39J40J41J42N34N35N39</v>
      </c>
      <c r="U45" s="697"/>
      <c r="X45" s="191"/>
      <c r="Y45" s="191"/>
      <c r="Z45" s="191"/>
      <c r="AA45" s="241"/>
      <c r="AC45" s="247"/>
      <c r="AD45" s="248"/>
      <c r="AE45" s="132"/>
      <c r="AM45" s="71"/>
      <c r="AN45" s="71"/>
      <c r="AO45" s="71"/>
      <c r="AP45" s="71"/>
      <c r="AQ45" s="71"/>
      <c r="AS45" s="237"/>
      <c r="AT45" s="237"/>
      <c r="AU45" s="237"/>
      <c r="AV45" s="237"/>
      <c r="AW45" s="237"/>
      <c r="AX45" s="237"/>
      <c r="AY45" s="237"/>
      <c r="AZ45" s="237"/>
      <c r="BA45" s="237"/>
      <c r="BB45" s="237"/>
      <c r="BC45" s="237"/>
      <c r="BD45" s="237"/>
      <c r="BE45" s="191"/>
      <c r="BF45" s="191"/>
      <c r="BG45" s="191"/>
      <c r="BH45" s="191"/>
      <c r="BI45" s="191"/>
      <c r="BJ45" s="191"/>
      <c r="BK45" s="191"/>
      <c r="BL45" s="191"/>
      <c r="BM45" s="191"/>
      <c r="BN45" s="191"/>
      <c r="BO45" s="191"/>
      <c r="BP45" s="191"/>
      <c r="BQ45" s="191"/>
      <c r="BR45" s="191"/>
      <c r="BS45" s="191"/>
      <c r="BT45" s="191"/>
      <c r="BU45" s="191"/>
      <c r="BV45" s="191"/>
      <c r="BW45" s="191"/>
      <c r="BX45" s="191"/>
      <c r="BY45" s="191"/>
      <c r="BZ45" s="191"/>
      <c r="CA45" s="191"/>
      <c r="CB45" s="191"/>
      <c r="CC45" s="191"/>
      <c r="CD45" s="191"/>
      <c r="CE45" s="191"/>
      <c r="CF45" s="191"/>
      <c r="CG45" s="191"/>
      <c r="CH45" s="191"/>
      <c r="CI45" s="191"/>
      <c r="CJ45" s="191"/>
      <c r="CK45" s="191"/>
      <c r="CL45" s="191"/>
      <c r="CM45" s="191"/>
      <c r="CN45" s="191"/>
      <c r="CO45" s="191"/>
      <c r="CP45" s="191"/>
      <c r="CQ45" s="191"/>
    </row>
    <row r="46" spans="1:95">
      <c r="A46" s="644"/>
      <c r="B46" s="185"/>
      <c r="C46" s="185"/>
      <c r="D46" s="185"/>
      <c r="F46" s="12" t="str">
        <f t="shared" si="8"/>
        <v xml:space="preserve"> </v>
      </c>
      <c r="G46" s="228">
        <f t="shared" si="12"/>
        <v>1</v>
      </c>
      <c r="H46" s="13" t="str">
        <f t="shared" si="13"/>
        <v>F34F35</v>
      </c>
      <c r="I46" s="697"/>
      <c r="J46" s="12" t="str">
        <f t="shared" si="9"/>
        <v xml:space="preserve"> </v>
      </c>
      <c r="K46" s="182">
        <f t="shared" ref="K46:K71" ca="1" si="17">COUNTIF($F$14:$F$91,J46)</f>
        <v>72</v>
      </c>
      <c r="L46" s="13" t="str">
        <f t="shared" ca="1" si="14"/>
        <v>F34F35J34J35J36J37J38J39J40J41J42</v>
      </c>
      <c r="M46" s="697"/>
      <c r="N46" s="12" t="str">
        <f t="shared" si="10"/>
        <v xml:space="preserve"> </v>
      </c>
      <c r="O46" s="188">
        <f t="shared" ref="O46:O77" ca="1" si="18">COUNTIF($F$14:$J$91,N46)</f>
        <v>129</v>
      </c>
      <c r="P46" s="13" t="str">
        <f t="shared" ca="1" si="15"/>
        <v>F34F35J34J35J36J37J38J39J40J41J42N34N35N39</v>
      </c>
      <c r="Q46" s="697"/>
      <c r="R46" s="12" t="str">
        <f t="shared" si="11"/>
        <v xml:space="preserve"> </v>
      </c>
      <c r="S46" s="188">
        <f t="shared" ref="S46:S77" ca="1" si="19">COUNTIF($F$14:$N$91,R46)</f>
        <v>188</v>
      </c>
      <c r="T46" s="13" t="str">
        <f t="shared" ca="1" si="16"/>
        <v>F34F35J34J35J36J37J38J39J40J41J42N34N35N39</v>
      </c>
      <c r="U46" s="697"/>
      <c r="X46" s="191"/>
      <c r="Y46" s="191"/>
      <c r="Z46" s="191"/>
      <c r="AA46" s="241"/>
      <c r="AC46" s="247"/>
      <c r="AD46" s="248"/>
      <c r="AE46" s="132"/>
      <c r="AM46" s="71"/>
      <c r="AN46" s="71"/>
      <c r="AO46" s="71"/>
      <c r="AP46" s="71"/>
      <c r="AQ46" s="71"/>
      <c r="AS46" s="237"/>
      <c r="AT46" s="237"/>
      <c r="AU46" s="237"/>
      <c r="AV46" s="237"/>
      <c r="AW46" s="237"/>
      <c r="AX46" s="237"/>
      <c r="AY46" s="237"/>
      <c r="AZ46" s="237"/>
      <c r="BA46" s="237"/>
      <c r="BB46" s="237"/>
      <c r="BC46" s="237"/>
      <c r="BD46" s="237"/>
      <c r="BE46" s="191"/>
      <c r="BF46" s="191"/>
      <c r="BG46" s="191"/>
      <c r="BH46" s="191"/>
      <c r="BI46" s="191"/>
      <c r="BJ46" s="191"/>
      <c r="BK46" s="191"/>
      <c r="BL46" s="191"/>
      <c r="BM46" s="191"/>
      <c r="BN46" s="191"/>
      <c r="BO46" s="191"/>
      <c r="BP46" s="191"/>
      <c r="BQ46" s="191"/>
      <c r="BR46" s="191"/>
      <c r="BS46" s="191"/>
      <c r="BT46" s="191"/>
      <c r="BU46" s="191"/>
      <c r="BV46" s="191"/>
      <c r="BW46" s="191"/>
      <c r="BX46" s="191"/>
      <c r="BY46" s="191"/>
      <c r="BZ46" s="191"/>
      <c r="CA46" s="191"/>
      <c r="CB46" s="191"/>
      <c r="CC46" s="191"/>
      <c r="CD46" s="191"/>
      <c r="CE46" s="191"/>
      <c r="CF46" s="191"/>
      <c r="CG46" s="191"/>
      <c r="CH46" s="191"/>
      <c r="CI46" s="191"/>
      <c r="CJ46" s="191"/>
      <c r="CK46" s="191"/>
      <c r="CL46" s="191"/>
      <c r="CM46" s="191"/>
      <c r="CN46" s="191"/>
      <c r="CO46" s="191"/>
      <c r="CP46" s="191"/>
      <c r="CQ46" s="191"/>
    </row>
    <row r="47" spans="1:95">
      <c r="A47" s="644"/>
      <c r="B47" s="185"/>
      <c r="C47" s="185"/>
      <c r="D47" s="185"/>
      <c r="F47" s="12" t="str">
        <f t="shared" si="8"/>
        <v xml:space="preserve"> </v>
      </c>
      <c r="G47" s="228">
        <f t="shared" si="12"/>
        <v>1</v>
      </c>
      <c r="H47" s="13" t="str">
        <f t="shared" si="13"/>
        <v>F34F35</v>
      </c>
      <c r="I47" s="697"/>
      <c r="J47" s="12" t="str">
        <f t="shared" si="9"/>
        <v xml:space="preserve"> </v>
      </c>
      <c r="K47" s="182">
        <f t="shared" ca="1" si="17"/>
        <v>72</v>
      </c>
      <c r="L47" s="13" t="str">
        <f t="shared" ca="1" si="14"/>
        <v>F34F35J34J35J36J37J38J39J40J41J42</v>
      </c>
      <c r="M47" s="697"/>
      <c r="N47" s="12" t="str">
        <f t="shared" si="10"/>
        <v xml:space="preserve"> </v>
      </c>
      <c r="O47" s="188">
        <f t="shared" ca="1" si="18"/>
        <v>129</v>
      </c>
      <c r="P47" s="13" t="str">
        <f t="shared" ca="1" si="15"/>
        <v>F34F35J34J35J36J37J38J39J40J41J42N34N35N39</v>
      </c>
      <c r="Q47" s="697"/>
      <c r="R47" s="12" t="str">
        <f t="shared" si="11"/>
        <v xml:space="preserve"> </v>
      </c>
      <c r="S47" s="188">
        <f t="shared" ca="1" si="19"/>
        <v>188</v>
      </c>
      <c r="T47" s="13" t="str">
        <f t="shared" ca="1" si="16"/>
        <v>F34F35J34J35J36J37J38J39J40J41J42N34N35N39</v>
      </c>
      <c r="U47" s="697"/>
      <c r="X47" s="191"/>
      <c r="Y47" s="191"/>
      <c r="Z47" s="191"/>
      <c r="AA47" s="241"/>
      <c r="AC47" s="247"/>
      <c r="AD47" s="248"/>
      <c r="AE47" s="132"/>
      <c r="AM47" s="71"/>
      <c r="AN47" s="71"/>
      <c r="AO47" s="71"/>
      <c r="AP47" s="71"/>
      <c r="AQ47" s="71"/>
      <c r="AS47" s="237"/>
      <c r="AT47" s="237"/>
      <c r="AU47" s="237"/>
      <c r="AV47" s="237"/>
      <c r="AW47" s="237"/>
      <c r="AX47" s="237"/>
      <c r="AY47" s="237"/>
      <c r="AZ47" s="237"/>
      <c r="BA47" s="237"/>
      <c r="BB47" s="237"/>
      <c r="BC47" s="237"/>
      <c r="BD47" s="237"/>
      <c r="BE47" s="191"/>
      <c r="BF47" s="191"/>
      <c r="BG47" s="191"/>
      <c r="BH47" s="191"/>
      <c r="BI47" s="191"/>
      <c r="BJ47" s="191"/>
      <c r="BK47" s="191"/>
      <c r="BL47" s="191"/>
      <c r="BM47" s="191"/>
      <c r="BN47" s="191"/>
      <c r="BO47" s="191"/>
      <c r="BP47" s="191"/>
      <c r="BQ47" s="191"/>
      <c r="BR47" s="191"/>
      <c r="BS47" s="191"/>
      <c r="BT47" s="191"/>
      <c r="BU47" s="191"/>
      <c r="BV47" s="191"/>
      <c r="BW47" s="191"/>
      <c r="BX47" s="191"/>
      <c r="BY47" s="191"/>
      <c r="BZ47" s="191"/>
      <c r="CA47" s="191"/>
      <c r="CB47" s="191"/>
      <c r="CC47" s="191"/>
      <c r="CD47" s="191"/>
      <c r="CE47" s="191"/>
      <c r="CF47" s="191"/>
      <c r="CG47" s="191"/>
      <c r="CH47" s="191"/>
      <c r="CI47" s="191"/>
      <c r="CJ47" s="191"/>
      <c r="CK47" s="191"/>
      <c r="CL47" s="191"/>
      <c r="CM47" s="191"/>
      <c r="CN47" s="191"/>
      <c r="CO47" s="191"/>
      <c r="CP47" s="191"/>
      <c r="CQ47" s="191"/>
    </row>
    <row r="48" spans="1:95">
      <c r="A48" s="644"/>
      <c r="B48" s="185"/>
      <c r="C48" s="185"/>
      <c r="D48" s="185"/>
      <c r="F48" s="12" t="str">
        <f t="shared" si="8"/>
        <v xml:space="preserve"> </v>
      </c>
      <c r="G48" s="228">
        <f t="shared" si="12"/>
        <v>1</v>
      </c>
      <c r="H48" s="13" t="str">
        <f t="shared" si="13"/>
        <v>F34F35</v>
      </c>
      <c r="I48" s="697"/>
      <c r="J48" s="12" t="str">
        <f t="shared" si="9"/>
        <v xml:space="preserve"> </v>
      </c>
      <c r="K48" s="182">
        <f t="shared" ca="1" si="17"/>
        <v>72</v>
      </c>
      <c r="L48" s="13" t="str">
        <f t="shared" ca="1" si="14"/>
        <v>F34F35J34J35J36J37J38J39J40J41J42</v>
      </c>
      <c r="M48" s="697"/>
      <c r="N48" s="12" t="str">
        <f t="shared" si="10"/>
        <v xml:space="preserve"> </v>
      </c>
      <c r="O48" s="188">
        <f t="shared" ca="1" si="18"/>
        <v>129</v>
      </c>
      <c r="P48" s="13" t="str">
        <f t="shared" ca="1" si="15"/>
        <v>F34F35J34J35J36J37J38J39J40J41J42N34N35N39</v>
      </c>
      <c r="Q48" s="697"/>
      <c r="R48" s="12" t="str">
        <f t="shared" si="11"/>
        <v xml:space="preserve"> </v>
      </c>
      <c r="S48" s="188">
        <f t="shared" ca="1" si="19"/>
        <v>188</v>
      </c>
      <c r="T48" s="13" t="str">
        <f t="shared" ca="1" si="16"/>
        <v>F34F35J34J35J36J37J38J39J40J41J42N34N35N39</v>
      </c>
      <c r="U48" s="697"/>
      <c r="X48" s="191"/>
      <c r="Y48" s="191"/>
      <c r="Z48" s="191"/>
      <c r="AA48" s="241"/>
      <c r="AC48" s="247"/>
      <c r="AD48" s="248"/>
      <c r="AE48" s="132"/>
      <c r="AM48" s="71"/>
      <c r="AN48" s="71"/>
      <c r="AO48" s="71"/>
      <c r="AP48" s="71"/>
      <c r="AQ48" s="71"/>
      <c r="AS48" s="237"/>
      <c r="AT48" s="237"/>
      <c r="AU48" s="237"/>
      <c r="AV48" s="237"/>
      <c r="AW48" s="237"/>
      <c r="AX48" s="237"/>
      <c r="AY48" s="237"/>
      <c r="AZ48" s="237"/>
      <c r="BA48" s="237"/>
      <c r="BB48" s="237"/>
      <c r="BC48" s="237"/>
      <c r="BD48" s="237"/>
      <c r="BE48" s="191"/>
      <c r="BF48" s="191"/>
      <c r="BG48" s="191"/>
      <c r="BH48" s="191"/>
      <c r="BI48" s="191"/>
      <c r="BJ48" s="191"/>
      <c r="BK48" s="191"/>
      <c r="BL48" s="191"/>
      <c r="BM48" s="191"/>
      <c r="BN48" s="191"/>
      <c r="BO48" s="191"/>
      <c r="BP48" s="191"/>
      <c r="BQ48" s="191"/>
      <c r="BR48" s="191"/>
      <c r="BS48" s="191"/>
      <c r="BT48" s="191"/>
      <c r="BU48" s="191"/>
      <c r="BV48" s="191"/>
      <c r="BW48" s="191"/>
      <c r="BX48" s="191"/>
      <c r="BY48" s="191"/>
      <c r="BZ48" s="191"/>
      <c r="CA48" s="191"/>
      <c r="CB48" s="191"/>
      <c r="CC48" s="191"/>
      <c r="CD48" s="191"/>
      <c r="CE48" s="191"/>
      <c r="CF48" s="191"/>
      <c r="CG48" s="191"/>
      <c r="CH48" s="191"/>
      <c r="CI48" s="191"/>
      <c r="CJ48" s="191"/>
      <c r="CK48" s="191"/>
      <c r="CL48" s="191"/>
      <c r="CM48" s="191"/>
      <c r="CN48" s="191"/>
      <c r="CO48" s="191"/>
      <c r="CP48" s="191"/>
      <c r="CQ48" s="191"/>
    </row>
    <row r="49" spans="1:95">
      <c r="A49" s="644"/>
      <c r="B49" s="185"/>
      <c r="C49" s="185"/>
      <c r="D49" s="185"/>
      <c r="F49" s="12" t="str">
        <f t="shared" si="8"/>
        <v xml:space="preserve"> </v>
      </c>
      <c r="G49" s="228">
        <f t="shared" si="12"/>
        <v>1</v>
      </c>
      <c r="H49" s="13" t="str">
        <f t="shared" si="13"/>
        <v>F34F35</v>
      </c>
      <c r="I49" s="697"/>
      <c r="J49" s="12" t="str">
        <f t="shared" si="9"/>
        <v xml:space="preserve"> </v>
      </c>
      <c r="K49" s="182">
        <f t="shared" ca="1" si="17"/>
        <v>72</v>
      </c>
      <c r="L49" s="13" t="str">
        <f t="shared" ca="1" si="14"/>
        <v>F34F35J34J35J36J37J38J39J40J41J42</v>
      </c>
      <c r="M49" s="697"/>
      <c r="N49" s="12" t="str">
        <f t="shared" si="10"/>
        <v xml:space="preserve"> </v>
      </c>
      <c r="O49" s="188">
        <f t="shared" ca="1" si="18"/>
        <v>129</v>
      </c>
      <c r="P49" s="13" t="str">
        <f t="shared" ca="1" si="15"/>
        <v>F34F35J34J35J36J37J38J39J40J41J42N34N35N39</v>
      </c>
      <c r="Q49" s="697"/>
      <c r="R49" s="12" t="str">
        <f t="shared" si="11"/>
        <v xml:space="preserve"> </v>
      </c>
      <c r="S49" s="188">
        <f t="shared" ca="1" si="19"/>
        <v>188</v>
      </c>
      <c r="T49" s="13" t="str">
        <f t="shared" ca="1" si="16"/>
        <v>F34F35J34J35J36J37J38J39J40J41J42N34N35N39</v>
      </c>
      <c r="U49" s="697"/>
      <c r="X49" s="191"/>
      <c r="Y49" s="191"/>
      <c r="Z49" s="191"/>
      <c r="AA49" s="241"/>
      <c r="AC49" s="247"/>
      <c r="AD49" s="248"/>
      <c r="AE49" s="132"/>
      <c r="AM49" s="71"/>
      <c r="AN49" s="71"/>
      <c r="AO49" s="71"/>
      <c r="AP49" s="71"/>
      <c r="AQ49" s="71"/>
      <c r="AS49" s="237"/>
      <c r="AT49" s="237"/>
      <c r="AU49" s="237"/>
      <c r="AV49" s="237"/>
      <c r="AW49" s="237"/>
      <c r="AX49" s="237"/>
      <c r="AY49" s="237"/>
      <c r="AZ49" s="237"/>
      <c r="BA49" s="237"/>
      <c r="BB49" s="237"/>
      <c r="BC49" s="237"/>
      <c r="BD49" s="237"/>
      <c r="BE49" s="191"/>
      <c r="BF49" s="191"/>
      <c r="BG49" s="191"/>
      <c r="BH49" s="191"/>
      <c r="BI49" s="191"/>
      <c r="BJ49" s="191"/>
      <c r="BK49" s="191"/>
      <c r="BL49" s="191"/>
      <c r="BM49" s="191"/>
      <c r="BN49" s="191"/>
      <c r="BO49" s="191"/>
      <c r="BP49" s="191"/>
      <c r="BQ49" s="191"/>
      <c r="BR49" s="191"/>
      <c r="BS49" s="191"/>
      <c r="BT49" s="191"/>
      <c r="BU49" s="191"/>
      <c r="BV49" s="191"/>
      <c r="BW49" s="191"/>
      <c r="BX49" s="191"/>
      <c r="BY49" s="191"/>
      <c r="BZ49" s="191"/>
      <c r="CA49" s="191"/>
      <c r="CB49" s="191"/>
      <c r="CC49" s="191"/>
      <c r="CD49" s="191"/>
      <c r="CE49" s="191"/>
      <c r="CF49" s="191"/>
      <c r="CG49" s="191"/>
      <c r="CH49" s="191"/>
      <c r="CI49" s="191"/>
      <c r="CJ49" s="191"/>
      <c r="CK49" s="191"/>
      <c r="CL49" s="191"/>
      <c r="CM49" s="191"/>
      <c r="CN49" s="191"/>
      <c r="CO49" s="191"/>
      <c r="CP49" s="191"/>
      <c r="CQ49" s="191"/>
    </row>
    <row r="50" spans="1:95">
      <c r="A50" s="644"/>
      <c r="B50" s="185"/>
      <c r="C50" s="185"/>
      <c r="D50" s="185"/>
      <c r="F50" s="12" t="str">
        <f t="shared" si="8"/>
        <v xml:space="preserve"> </v>
      </c>
      <c r="G50" s="228">
        <f t="shared" si="12"/>
        <v>1</v>
      </c>
      <c r="H50" s="13" t="str">
        <f t="shared" si="13"/>
        <v>F34F35</v>
      </c>
      <c r="I50" s="697"/>
      <c r="J50" s="12" t="str">
        <f t="shared" si="9"/>
        <v xml:space="preserve"> </v>
      </c>
      <c r="K50" s="182">
        <f t="shared" ca="1" si="17"/>
        <v>72</v>
      </c>
      <c r="L50" s="13" t="str">
        <f t="shared" ca="1" si="14"/>
        <v>F34F35J34J35J36J37J38J39J40J41J42</v>
      </c>
      <c r="M50" s="697"/>
      <c r="N50" s="12" t="str">
        <f t="shared" si="10"/>
        <v xml:space="preserve"> </v>
      </c>
      <c r="O50" s="188">
        <f t="shared" ca="1" si="18"/>
        <v>129</v>
      </c>
      <c r="P50" s="13" t="str">
        <f t="shared" ca="1" si="15"/>
        <v>F34F35J34J35J36J37J38J39J40J41J42N34N35N39</v>
      </c>
      <c r="Q50" s="697"/>
      <c r="R50" s="12" t="str">
        <f t="shared" si="11"/>
        <v xml:space="preserve"> </v>
      </c>
      <c r="S50" s="188">
        <f t="shared" ca="1" si="19"/>
        <v>188</v>
      </c>
      <c r="T50" s="13" t="str">
        <f t="shared" ca="1" si="16"/>
        <v>F34F35J34J35J36J37J38J39J40J41J42N34N35N39</v>
      </c>
      <c r="U50" s="697"/>
      <c r="X50" s="191"/>
      <c r="Y50" s="191"/>
      <c r="Z50" s="191"/>
      <c r="AA50" s="241"/>
      <c r="AC50" s="247"/>
      <c r="AD50" s="248"/>
      <c r="AE50" s="132"/>
      <c r="AM50" s="71"/>
      <c r="AN50" s="71"/>
      <c r="AO50" s="71"/>
      <c r="AP50" s="71"/>
      <c r="AQ50" s="71"/>
      <c r="AS50" s="237"/>
      <c r="AT50" s="237"/>
      <c r="AU50" s="237"/>
      <c r="AV50" s="237"/>
      <c r="AW50" s="237"/>
      <c r="AX50" s="237"/>
      <c r="AY50" s="237"/>
      <c r="AZ50" s="237"/>
      <c r="BA50" s="237"/>
      <c r="BB50" s="237"/>
      <c r="BC50" s="237"/>
      <c r="BD50" s="237"/>
      <c r="BE50" s="191"/>
      <c r="BF50" s="191"/>
      <c r="BG50" s="191"/>
      <c r="BH50" s="191"/>
      <c r="BI50" s="191"/>
      <c r="BJ50" s="191"/>
      <c r="BK50" s="191"/>
      <c r="BL50" s="191"/>
      <c r="BM50" s="191"/>
      <c r="BN50" s="191"/>
      <c r="BO50" s="191"/>
      <c r="BP50" s="191"/>
      <c r="BQ50" s="191"/>
      <c r="BR50" s="191"/>
      <c r="BS50" s="191"/>
      <c r="BT50" s="191"/>
      <c r="BU50" s="191"/>
      <c r="BV50" s="191"/>
      <c r="BW50" s="191"/>
      <c r="BX50" s="191"/>
      <c r="BY50" s="191"/>
      <c r="BZ50" s="191"/>
      <c r="CA50" s="191"/>
      <c r="CB50" s="191"/>
      <c r="CC50" s="191"/>
      <c r="CD50" s="191"/>
      <c r="CE50" s="191"/>
      <c r="CF50" s="191"/>
      <c r="CG50" s="191"/>
      <c r="CH50" s="191"/>
      <c r="CI50" s="191"/>
      <c r="CJ50" s="191"/>
      <c r="CK50" s="191"/>
      <c r="CL50" s="191"/>
      <c r="CM50" s="191"/>
      <c r="CN50" s="191"/>
      <c r="CO50" s="191"/>
      <c r="CP50" s="191"/>
      <c r="CQ50" s="191"/>
    </row>
    <row r="51" spans="1:95">
      <c r="A51" s="644"/>
      <c r="B51" s="185"/>
      <c r="C51" s="185"/>
      <c r="D51" s="185"/>
      <c r="F51" s="199" t="str">
        <f t="shared" si="8"/>
        <v xml:space="preserve"> </v>
      </c>
      <c r="G51" s="228">
        <f t="shared" si="12"/>
        <v>1</v>
      </c>
      <c r="H51" s="13" t="str">
        <f t="shared" si="13"/>
        <v>F34F35</v>
      </c>
      <c r="I51" s="697"/>
      <c r="J51" s="199" t="str">
        <f t="shared" si="9"/>
        <v xml:space="preserve"> </v>
      </c>
      <c r="K51" s="182">
        <f t="shared" ca="1" si="17"/>
        <v>72</v>
      </c>
      <c r="L51" s="13" t="str">
        <f t="shared" ca="1" si="14"/>
        <v>F34F35J34J35J36J37J38J39J40J41J42</v>
      </c>
      <c r="M51" s="697"/>
      <c r="N51" s="199" t="str">
        <f t="shared" si="10"/>
        <v xml:space="preserve"> </v>
      </c>
      <c r="O51" s="188">
        <f t="shared" ca="1" si="18"/>
        <v>129</v>
      </c>
      <c r="P51" s="13" t="str">
        <f t="shared" ca="1" si="15"/>
        <v>F34F35J34J35J36J37J38J39J40J41J42N34N35N39</v>
      </c>
      <c r="Q51" s="697"/>
      <c r="R51" s="199" t="str">
        <f t="shared" si="11"/>
        <v xml:space="preserve"> </v>
      </c>
      <c r="S51" s="188">
        <f t="shared" ca="1" si="19"/>
        <v>188</v>
      </c>
      <c r="T51" s="13" t="str">
        <f t="shared" ca="1" si="16"/>
        <v>F34F35J34J35J36J37J38J39J40J41J42N34N35N39</v>
      </c>
      <c r="U51" s="697"/>
      <c r="X51" s="191"/>
      <c r="Y51" s="191"/>
      <c r="Z51" s="191"/>
      <c r="AA51" s="241"/>
      <c r="AC51" s="247"/>
      <c r="AD51" s="248"/>
      <c r="AE51" s="132"/>
      <c r="AM51" s="71"/>
      <c r="AN51" s="71"/>
      <c r="AO51" s="71"/>
      <c r="AP51" s="71"/>
      <c r="AQ51" s="71"/>
      <c r="AS51" s="237"/>
      <c r="AT51" s="237"/>
      <c r="AU51" s="237"/>
      <c r="AV51" s="237"/>
      <c r="AW51" s="237"/>
      <c r="AX51" s="237"/>
      <c r="AY51" s="237"/>
      <c r="AZ51" s="237"/>
      <c r="BA51" s="237"/>
      <c r="BB51" s="237"/>
      <c r="BC51" s="237"/>
      <c r="BD51" s="237"/>
      <c r="BE51" s="191"/>
      <c r="BF51" s="191"/>
      <c r="BG51" s="191"/>
      <c r="BH51" s="191"/>
      <c r="BI51" s="191"/>
      <c r="BJ51" s="191"/>
      <c r="BK51" s="191"/>
      <c r="BL51" s="191"/>
      <c r="BM51" s="191"/>
      <c r="BN51" s="191"/>
      <c r="BO51" s="191"/>
      <c r="BP51" s="191"/>
      <c r="BQ51" s="191"/>
      <c r="BR51" s="191"/>
      <c r="BS51" s="191"/>
      <c r="BT51" s="191"/>
      <c r="BU51" s="191"/>
      <c r="BV51" s="191"/>
      <c r="BW51" s="191"/>
      <c r="BX51" s="191"/>
      <c r="BY51" s="191"/>
      <c r="BZ51" s="191"/>
      <c r="CA51" s="191"/>
      <c r="CB51" s="191"/>
      <c r="CC51" s="191"/>
      <c r="CD51" s="191"/>
      <c r="CE51" s="191"/>
      <c r="CF51" s="191"/>
      <c r="CG51" s="191"/>
      <c r="CH51" s="191"/>
      <c r="CI51" s="191"/>
      <c r="CJ51" s="191"/>
      <c r="CK51" s="191"/>
      <c r="CL51" s="191"/>
      <c r="CM51" s="191"/>
      <c r="CN51" s="191"/>
      <c r="CO51" s="191"/>
      <c r="CP51" s="191"/>
      <c r="CQ51" s="191"/>
    </row>
    <row r="52" spans="1:95" s="186" customFormat="1" ht="15.75" thickBot="1">
      <c r="A52" s="645"/>
      <c r="F52" s="14" t="s">
        <v>97</v>
      </c>
      <c r="G52" s="230">
        <f t="shared" si="12"/>
        <v>1</v>
      </c>
      <c r="H52" s="16" t="str">
        <f t="shared" si="13"/>
        <v>F34F35</v>
      </c>
      <c r="I52" s="698"/>
      <c r="J52" s="14" t="s">
        <v>97</v>
      </c>
      <c r="K52" s="194">
        <f t="shared" ca="1" si="17"/>
        <v>72</v>
      </c>
      <c r="L52" s="16" t="str">
        <f t="shared" ca="1" si="14"/>
        <v>F34F35J34J35J36J37J38J39J40J41J42</v>
      </c>
      <c r="M52" s="698"/>
      <c r="N52" s="14" t="s">
        <v>97</v>
      </c>
      <c r="O52" s="194">
        <f t="shared" ca="1" si="18"/>
        <v>129</v>
      </c>
      <c r="P52" s="16" t="str">
        <f t="shared" ca="1" si="15"/>
        <v>F34F35J34J35J36J37J38J39J40J41J42N34N35N39</v>
      </c>
      <c r="Q52" s="698"/>
      <c r="R52" s="14" t="s">
        <v>97</v>
      </c>
      <c r="S52" s="194">
        <f t="shared" ca="1" si="19"/>
        <v>188</v>
      </c>
      <c r="T52" s="16" t="str">
        <f t="shared" ca="1" si="16"/>
        <v>F34F35J34J35J36J37J38J39J40J41J42N34N35N39</v>
      </c>
      <c r="U52" s="698"/>
      <c r="V52" s="191"/>
      <c r="W52" s="191"/>
      <c r="X52" s="191"/>
      <c r="Y52" s="191"/>
      <c r="Z52" s="191"/>
      <c r="AA52" s="241"/>
      <c r="AB52" s="229"/>
      <c r="AC52" s="247"/>
      <c r="AD52" s="248"/>
      <c r="AE52" s="132"/>
      <c r="AF52" s="237"/>
      <c r="AG52" s="237"/>
      <c r="AH52" s="237"/>
      <c r="AI52" s="237"/>
      <c r="AJ52" s="237"/>
      <c r="AK52" s="237"/>
      <c r="AL52" s="237"/>
      <c r="AM52" s="71"/>
      <c r="AN52" s="71"/>
      <c r="AO52" s="71"/>
      <c r="AP52" s="71"/>
      <c r="AQ52" s="71"/>
      <c r="AR52" s="237"/>
      <c r="AS52" s="237"/>
      <c r="AT52" s="237"/>
      <c r="AU52" s="237"/>
      <c r="AV52" s="237"/>
      <c r="AW52" s="237"/>
      <c r="AX52" s="237"/>
      <c r="AY52" s="237"/>
      <c r="AZ52" s="237"/>
      <c r="BA52" s="237"/>
      <c r="BB52" s="237"/>
      <c r="BC52" s="237"/>
      <c r="BD52" s="237"/>
      <c r="BE52" s="191"/>
      <c r="BF52" s="191"/>
      <c r="BG52" s="191"/>
      <c r="BH52" s="191"/>
      <c r="BI52" s="191"/>
      <c r="BJ52" s="191"/>
      <c r="BK52" s="191"/>
      <c r="BL52" s="191"/>
      <c r="BM52" s="191"/>
      <c r="BN52" s="191"/>
      <c r="BO52" s="191"/>
      <c r="BP52" s="191"/>
      <c r="BQ52" s="191"/>
      <c r="BR52" s="191"/>
      <c r="BS52" s="191"/>
      <c r="BT52" s="191"/>
      <c r="BU52" s="191"/>
      <c r="BV52" s="191"/>
      <c r="BW52" s="191"/>
      <c r="BX52" s="191"/>
      <c r="BY52" s="191"/>
      <c r="BZ52" s="191"/>
      <c r="CA52" s="191"/>
      <c r="CB52" s="191"/>
      <c r="CC52" s="191"/>
      <c r="CD52" s="191"/>
      <c r="CE52" s="191"/>
      <c r="CF52" s="191"/>
      <c r="CG52" s="191"/>
      <c r="CH52" s="191"/>
      <c r="CI52" s="191"/>
      <c r="CJ52" s="191"/>
      <c r="CK52" s="191"/>
      <c r="CL52" s="191"/>
      <c r="CM52" s="191"/>
      <c r="CN52" s="191"/>
      <c r="CO52" s="191"/>
      <c r="CP52" s="191"/>
      <c r="CQ52" s="191"/>
    </row>
    <row r="53" spans="1:95" customFormat="1" ht="15" customHeight="1">
      <c r="A53" s="655" t="s">
        <v>2</v>
      </c>
      <c r="F53" s="9" t="str">
        <f ca="1">TalentC0</f>
        <v>Guerrier né</v>
      </c>
      <c r="G53" s="225">
        <v>0</v>
      </c>
      <c r="H53" s="202" t="str">
        <f ca="1">IF(F53&lt;&gt;" ",F53,"")</f>
        <v>Guerrier né</v>
      </c>
      <c r="I53" s="696" t="str">
        <f ca="1">H71</f>
        <v xml:space="preserve">Guerrier né
Résistance accrue </v>
      </c>
      <c r="J53" s="201" t="str">
        <f t="shared" ref="J53:J71" si="20">TalentC1</f>
        <v>Combat de rue</v>
      </c>
      <c r="K53" s="225">
        <f t="shared" ca="1" si="17"/>
        <v>0</v>
      </c>
      <c r="L53" s="202" t="str">
        <f ca="1">IF(AND(J53&lt;&gt;" ",K53=0),CONCATENATE(I53&amp;CHAR(10)&amp;J53),I53)</f>
        <v>Guerrier né
Résistance accrue 
Combat de rue</v>
      </c>
      <c r="M53" s="696" t="str">
        <f ca="1">L71</f>
        <v>Guerrier né
Résistance accrue 
Combat de rue
Dur à cuir
Combat virevoltant
Coup puissant 
Grand voyageur</v>
      </c>
      <c r="N53" s="201" t="str">
        <f t="shared" ref="N53:N71" si="21">TalentC2</f>
        <v>Dur en affaires</v>
      </c>
      <c r="O53" s="225">
        <f t="shared" ca="1" si="18"/>
        <v>0</v>
      </c>
      <c r="P53" s="202" t="str">
        <f ca="1">IF(AND(N53&lt;&gt;" ",O53=0),CONCATENATE(M53&amp;CHAR(10)&amp;N53),M53)</f>
        <v>Guerrier né
Résistance accrue 
Combat de rue
Dur à cuir
Combat virevoltant
Coup puissant 
Grand voyageur
Dur en affaires</v>
      </c>
      <c r="Q53" s="696" t="str">
        <f ca="1">P71</f>
        <v xml:space="preserve">Guerrier né
Résistance accrue 
Combat de rue
Dur à cuir
Combat virevoltant
Coup puissant 
Grand voyageur
Dur en affaires
Etiquette
Sang froid 
Sociable </v>
      </c>
      <c r="R53" s="201" t="str">
        <f t="shared" ref="R53:R71" si="22">TalentC3</f>
        <v xml:space="preserve">Code de la rue </v>
      </c>
      <c r="S53" s="225">
        <f t="shared" ca="1" si="19"/>
        <v>0</v>
      </c>
      <c r="T53" s="202" t="str">
        <f ca="1">IF(AND(R53&lt;&gt;" ",S53=0),CONCATENATE(Q53&amp;CHAR(10)&amp;R53),Q53)</f>
        <v xml:space="preserve">Guerrier né
Résistance accrue 
Combat de rue
Dur à cuir
Combat virevoltant
Coup puissant 
Grand voyageur
Dur en affaires
Etiquette
Sang froid 
Sociable 
Code de la rue </v>
      </c>
      <c r="U53" s="696" t="str">
        <f ca="1">T71</f>
        <v>Guerrier né
Résistance accrue 
Combat de rue
Dur à cuir
Combat virevoltant
Coup puissant 
Grand voyageur
Dur en affaires
Etiquette
Sang froid 
Sociable 
Code de la rue 
Résistance aux maladies</v>
      </c>
      <c r="V53" s="191"/>
      <c r="W53" s="191"/>
      <c r="X53" s="191"/>
      <c r="Y53" s="191"/>
      <c r="Z53" s="191"/>
      <c r="AA53" s="241"/>
      <c r="AB53" s="229"/>
      <c r="AC53" s="247"/>
      <c r="AD53" s="248"/>
      <c r="AE53" s="132"/>
      <c r="AF53" s="237"/>
      <c r="AG53" s="237"/>
      <c r="AH53" s="237"/>
      <c r="AI53" s="237"/>
      <c r="AJ53" s="237"/>
      <c r="AK53" s="237"/>
      <c r="AL53" s="237"/>
      <c r="AM53" s="71"/>
      <c r="AN53" s="71"/>
      <c r="AO53" s="71"/>
      <c r="AP53" s="71"/>
      <c r="AQ53" s="71"/>
      <c r="AR53" s="237"/>
      <c r="AS53" s="237"/>
      <c r="AT53" s="237"/>
      <c r="AU53" s="237"/>
      <c r="AV53" s="237"/>
      <c r="AW53" s="237"/>
      <c r="AX53" s="237"/>
      <c r="AY53" s="237"/>
      <c r="AZ53" s="237"/>
      <c r="BA53" s="237"/>
      <c r="BB53" s="237"/>
      <c r="BC53" s="237"/>
      <c r="BD53" s="237"/>
      <c r="BE53" s="191"/>
      <c r="BF53" s="191"/>
      <c r="BG53" s="191"/>
      <c r="BH53" s="191"/>
      <c r="BI53" s="191"/>
      <c r="BJ53" s="191"/>
      <c r="BK53" s="191"/>
      <c r="BL53" s="191"/>
      <c r="BM53" s="191"/>
      <c r="BN53" s="191"/>
      <c r="BO53" s="191"/>
      <c r="BP53" s="191"/>
      <c r="BQ53" s="191"/>
      <c r="BR53" s="191"/>
      <c r="BS53" s="191"/>
      <c r="BT53" s="191"/>
      <c r="BU53" s="191"/>
      <c r="BV53" s="191"/>
      <c r="BW53" s="191"/>
      <c r="BX53" s="191"/>
      <c r="BY53" s="191"/>
      <c r="BZ53" s="191"/>
      <c r="CA53" s="191"/>
      <c r="CB53" s="191"/>
      <c r="CC53" s="191"/>
      <c r="CD53" s="191"/>
      <c r="CE53" s="191"/>
      <c r="CF53" s="191"/>
      <c r="CG53" s="191"/>
      <c r="CH53" s="191"/>
      <c r="CI53" s="191"/>
      <c r="CJ53" s="191"/>
      <c r="CK53" s="191"/>
      <c r="CL53" s="191"/>
      <c r="CM53" s="191"/>
      <c r="CN53" s="191"/>
      <c r="CO53" s="191"/>
      <c r="CP53" s="191"/>
      <c r="CQ53" s="191"/>
    </row>
    <row r="54" spans="1:95" customFormat="1">
      <c r="A54" s="656"/>
      <c r="F54" s="12" t="str">
        <f ca="1">TalentC0</f>
        <v xml:space="preserve">Résistance accrue </v>
      </c>
      <c r="G54" s="228">
        <v>0</v>
      </c>
      <c r="H54" s="13" t="str">
        <f t="shared" ref="H54:H71" ca="1" si="23">IF(F54&lt;&gt;" ",CONCATENATE(H53&amp;CHAR(10)&amp;F54),H53)</f>
        <v xml:space="preserve">Guerrier né
Résistance accrue </v>
      </c>
      <c r="I54" s="697"/>
      <c r="J54" s="12" t="str">
        <f t="shared" si="20"/>
        <v>Dur à cuir</v>
      </c>
      <c r="K54" s="182">
        <f t="shared" ca="1" si="17"/>
        <v>0</v>
      </c>
      <c r="L54" s="13" t="str">
        <f t="shared" ref="L54:L71" ca="1" si="24">IF(AND(J54&lt;&gt;" ",K54=0),CONCATENATE(L53&amp;CHAR(10)&amp;J54),L53)</f>
        <v>Guerrier né
Résistance accrue 
Combat de rue
Dur à cuir</v>
      </c>
      <c r="M54" s="697"/>
      <c r="N54" s="12" t="str">
        <f t="shared" si="21"/>
        <v>Grand voyageur</v>
      </c>
      <c r="O54" s="188">
        <f t="shared" ca="1" si="18"/>
        <v>1</v>
      </c>
      <c r="P54" s="13" t="str">
        <f t="shared" ref="P54:P71" ca="1" si="25">IF(AND(N54&lt;&gt;" ",O54=0),CONCATENATE(P53&amp;CHAR(10)&amp;N54),P53)</f>
        <v>Guerrier né
Résistance accrue 
Combat de rue
Dur à cuir
Combat virevoltant
Coup puissant 
Grand voyageur
Dur en affaires</v>
      </c>
      <c r="Q54" s="697"/>
      <c r="R54" s="12" t="str">
        <f t="shared" si="22"/>
        <v xml:space="preserve">Sang froid </v>
      </c>
      <c r="S54" s="188">
        <f t="shared" ca="1" si="19"/>
        <v>1</v>
      </c>
      <c r="T54" s="13" t="str">
        <f t="shared" ref="T54:T71" ca="1" si="26">IF(AND(R54&lt;&gt;" ",S54=0),CONCATENATE(T53&amp;CHAR(10)&amp;R54),T53)</f>
        <v xml:space="preserve">Guerrier né
Résistance accrue 
Combat de rue
Dur à cuir
Combat virevoltant
Coup puissant 
Grand voyageur
Dur en affaires
Etiquette
Sang froid 
Sociable 
Code de la rue </v>
      </c>
      <c r="U54" s="697"/>
      <c r="V54" s="191"/>
      <c r="W54" s="191"/>
      <c r="X54" s="191"/>
      <c r="Y54" s="191"/>
      <c r="Z54" s="191"/>
      <c r="AA54" s="241"/>
      <c r="AB54" s="229"/>
      <c r="AC54" s="247"/>
      <c r="AD54" s="248"/>
      <c r="AE54" s="132"/>
      <c r="AF54" s="237"/>
      <c r="AG54" s="237"/>
      <c r="AH54" s="237"/>
      <c r="AI54" s="237"/>
      <c r="AJ54" s="237"/>
      <c r="AK54" s="237"/>
      <c r="AL54" s="237"/>
      <c r="AM54" s="71"/>
      <c r="AN54" s="71"/>
      <c r="AO54" s="71"/>
      <c r="AP54" s="71"/>
      <c r="AQ54" s="71"/>
      <c r="AR54" s="237"/>
      <c r="AS54" s="237"/>
      <c r="AT54" s="237"/>
      <c r="AU54" s="237"/>
      <c r="AV54" s="237"/>
      <c r="AW54" s="237"/>
      <c r="AX54" s="237"/>
      <c r="AY54" s="237"/>
      <c r="AZ54" s="237"/>
      <c r="BA54" s="237"/>
      <c r="BB54" s="237"/>
      <c r="BC54" s="237"/>
      <c r="BD54" s="237"/>
      <c r="BE54" s="191"/>
      <c r="BF54" s="191"/>
      <c r="BG54" s="191"/>
      <c r="BH54" s="191"/>
      <c r="BI54" s="191"/>
      <c r="BJ54" s="191"/>
      <c r="BK54" s="191"/>
      <c r="BL54" s="191"/>
      <c r="BM54" s="191"/>
      <c r="BN54" s="191"/>
      <c r="BO54" s="191"/>
      <c r="BP54" s="191"/>
      <c r="BQ54" s="191"/>
      <c r="BR54" s="191"/>
      <c r="BS54" s="191"/>
      <c r="BT54" s="191"/>
      <c r="BU54" s="191"/>
      <c r="BV54" s="191"/>
      <c r="BW54" s="191"/>
      <c r="BX54" s="191"/>
      <c r="BY54" s="191"/>
      <c r="BZ54" s="191"/>
      <c r="CA54" s="191"/>
      <c r="CB54" s="191"/>
      <c r="CC54" s="191"/>
      <c r="CD54" s="191"/>
      <c r="CE54" s="191"/>
      <c r="CF54" s="191"/>
      <c r="CG54" s="191"/>
      <c r="CH54" s="191"/>
      <c r="CI54" s="191"/>
      <c r="CJ54" s="191"/>
      <c r="CK54" s="191"/>
      <c r="CL54" s="191"/>
      <c r="CM54" s="191"/>
      <c r="CN54" s="191"/>
      <c r="CO54" s="191"/>
      <c r="CP54" s="191"/>
      <c r="CQ54" s="191"/>
    </row>
    <row r="55" spans="1:95" customFormat="1">
      <c r="A55" s="656"/>
      <c r="F55" s="12" t="str">
        <f t="shared" ref="F55:F71" si="27">TalentC0</f>
        <v xml:space="preserve"> </v>
      </c>
      <c r="G55" s="228">
        <v>0</v>
      </c>
      <c r="H55" s="13" t="str">
        <f t="shared" ca="1" si="23"/>
        <v xml:space="preserve">Guerrier né
Résistance accrue </v>
      </c>
      <c r="I55" s="697"/>
      <c r="J55" s="12" t="str">
        <f t="shared" si="20"/>
        <v>Combat virevoltant</v>
      </c>
      <c r="K55" s="182">
        <f t="shared" ca="1" si="17"/>
        <v>0</v>
      </c>
      <c r="L55" s="13" t="str">
        <f t="shared" ca="1" si="24"/>
        <v>Guerrier né
Résistance accrue 
Combat de rue
Dur à cuir
Combat virevoltant</v>
      </c>
      <c r="M55" s="697"/>
      <c r="N55" s="12" t="str">
        <f t="shared" si="21"/>
        <v>Etiquette</v>
      </c>
      <c r="O55" s="188">
        <f t="shared" ca="1" si="18"/>
        <v>0</v>
      </c>
      <c r="P55" s="13" t="str">
        <f t="shared" ca="1" si="25"/>
        <v>Guerrier né
Résistance accrue 
Combat de rue
Dur à cuir
Combat virevoltant
Coup puissant 
Grand voyageur
Dur en affaires
Etiquette</v>
      </c>
      <c r="Q55" s="697"/>
      <c r="R55" s="12" t="str">
        <f t="shared" si="22"/>
        <v>Dur à cuir</v>
      </c>
      <c r="S55" s="188">
        <f t="shared" ca="1" si="19"/>
        <v>1</v>
      </c>
      <c r="T55" s="13" t="str">
        <f t="shared" ca="1" si="26"/>
        <v xml:space="preserve">Guerrier né
Résistance accrue 
Combat de rue
Dur à cuir
Combat virevoltant
Coup puissant 
Grand voyageur
Dur en affaires
Etiquette
Sang froid 
Sociable 
Code de la rue </v>
      </c>
      <c r="U55" s="697"/>
      <c r="V55" s="191"/>
      <c r="W55" s="191"/>
      <c r="X55" s="191"/>
      <c r="Y55" s="191"/>
      <c r="Z55" s="191"/>
      <c r="AA55" s="241"/>
      <c r="AB55" s="229"/>
      <c r="AC55" s="247"/>
      <c r="AD55" s="248"/>
      <c r="AE55" s="132"/>
      <c r="AF55" s="237"/>
      <c r="AG55" s="237"/>
      <c r="AH55" s="237"/>
      <c r="AI55" s="237"/>
      <c r="AJ55" s="237"/>
      <c r="AK55" s="237"/>
      <c r="AL55" s="237"/>
      <c r="AM55" s="71"/>
      <c r="AN55" s="71"/>
      <c r="AO55" s="71"/>
      <c r="AP55" s="71"/>
      <c r="AQ55" s="71"/>
      <c r="AR55" s="237"/>
      <c r="AS55" s="191"/>
      <c r="AT55" s="191"/>
      <c r="AU55" s="191"/>
      <c r="AV55" s="191"/>
      <c r="AW55" s="191"/>
      <c r="AX55" s="191"/>
      <c r="AY55" s="191"/>
      <c r="AZ55" s="191"/>
      <c r="BA55" s="191"/>
      <c r="BB55" s="191"/>
      <c r="BC55" s="191"/>
      <c r="BD55" s="191"/>
      <c r="BE55" s="191"/>
      <c r="BF55" s="191"/>
      <c r="BG55" s="191"/>
      <c r="BH55" s="191"/>
      <c r="BI55" s="191"/>
      <c r="BJ55" s="191"/>
      <c r="BK55" s="191"/>
      <c r="BL55" s="191"/>
      <c r="BM55" s="191"/>
      <c r="BN55" s="191"/>
      <c r="BO55" s="191"/>
      <c r="BP55" s="191"/>
      <c r="BQ55" s="191"/>
      <c r="BR55" s="191"/>
      <c r="BS55" s="191"/>
      <c r="BT55" s="191"/>
      <c r="BU55" s="191"/>
      <c r="BV55" s="191"/>
      <c r="BW55" s="191"/>
      <c r="BX55" s="191"/>
      <c r="BY55" s="191"/>
      <c r="BZ55" s="191"/>
      <c r="CA55" s="191"/>
      <c r="CB55" s="191"/>
      <c r="CC55" s="191"/>
      <c r="CD55" s="191"/>
      <c r="CE55" s="191"/>
      <c r="CF55" s="191"/>
      <c r="CG55" s="191"/>
      <c r="CH55" s="191"/>
      <c r="CI55" s="191"/>
      <c r="CJ55" s="191"/>
      <c r="CK55" s="191"/>
      <c r="CL55" s="191"/>
      <c r="CM55" s="191"/>
      <c r="CN55" s="191"/>
      <c r="CO55" s="191"/>
      <c r="CP55" s="191"/>
      <c r="CQ55" s="191"/>
    </row>
    <row r="56" spans="1:95" customFormat="1">
      <c r="A56" s="656"/>
      <c r="F56" s="12" t="str">
        <f t="shared" si="27"/>
        <v xml:space="preserve"> </v>
      </c>
      <c r="G56" s="228">
        <v>0</v>
      </c>
      <c r="H56" s="13" t="str">
        <f t="shared" ca="1" si="23"/>
        <v xml:space="preserve">Guerrier né
Résistance accrue </v>
      </c>
      <c r="I56" s="697"/>
      <c r="J56" s="12" t="str">
        <f t="shared" si="20"/>
        <v xml:space="preserve">Coup puissant </v>
      </c>
      <c r="K56" s="182">
        <f t="shared" ca="1" si="17"/>
        <v>0</v>
      </c>
      <c r="L56" s="13" t="str">
        <f t="shared" ca="1" si="24"/>
        <v xml:space="preserve">Guerrier né
Résistance accrue 
Combat de rue
Dur à cuir
Combat virevoltant
Coup puissant </v>
      </c>
      <c r="M56" s="697"/>
      <c r="N56" s="12" t="str">
        <f t="shared" si="21"/>
        <v xml:space="preserve">Sang froid </v>
      </c>
      <c r="O56" s="188">
        <f t="shared" ca="1" si="18"/>
        <v>0</v>
      </c>
      <c r="P56" s="13" t="str">
        <f t="shared" ca="1" si="25"/>
        <v xml:space="preserve">Guerrier né
Résistance accrue 
Combat de rue
Dur à cuir
Combat virevoltant
Coup puissant 
Grand voyageur
Dur en affaires
Etiquette
Sang froid </v>
      </c>
      <c r="Q56" s="697"/>
      <c r="R56" s="12" t="str">
        <f t="shared" si="22"/>
        <v>Résistance aux maladies</v>
      </c>
      <c r="S56" s="188">
        <f t="shared" ca="1" si="19"/>
        <v>0</v>
      </c>
      <c r="T56" s="13" t="str">
        <f t="shared" ca="1" si="26"/>
        <v>Guerrier né
Résistance accrue 
Combat de rue
Dur à cuir
Combat virevoltant
Coup puissant 
Grand voyageur
Dur en affaires
Etiquette
Sang froid 
Sociable 
Code de la rue 
Résistance aux maladies</v>
      </c>
      <c r="U56" s="697"/>
      <c r="V56" s="191"/>
      <c r="W56" s="191"/>
      <c r="Z56" s="191"/>
      <c r="AA56" s="241"/>
      <c r="AB56" s="229"/>
      <c r="AC56" s="247"/>
      <c r="AD56" s="248"/>
      <c r="AE56" s="132"/>
      <c r="AF56" s="237"/>
      <c r="AG56" s="237"/>
      <c r="AH56" s="237"/>
      <c r="AI56" s="237"/>
      <c r="AJ56" s="237"/>
      <c r="AK56" s="237"/>
      <c r="AL56" s="237"/>
      <c r="AM56" s="71"/>
      <c r="AN56" s="71"/>
      <c r="AO56" s="71"/>
      <c r="AP56" s="71"/>
      <c r="AQ56" s="71"/>
      <c r="AR56" s="237"/>
      <c r="AS56" s="191"/>
      <c r="AT56" s="191"/>
      <c r="AU56" s="191"/>
      <c r="AV56" s="191"/>
      <c r="AW56" s="191"/>
      <c r="AX56" s="191"/>
      <c r="AY56" s="191"/>
      <c r="AZ56" s="191"/>
      <c r="BA56" s="191"/>
      <c r="BB56" s="191"/>
      <c r="BC56" s="191"/>
      <c r="BD56" s="191"/>
      <c r="BE56" s="191"/>
      <c r="BF56" s="191"/>
      <c r="BG56" s="191"/>
      <c r="BH56" s="191"/>
      <c r="BI56" s="191"/>
      <c r="BJ56" s="191"/>
      <c r="BK56" s="191"/>
      <c r="BL56" s="191"/>
      <c r="BM56" s="191"/>
      <c r="BN56" s="191"/>
      <c r="BO56" s="191"/>
      <c r="BP56" s="191"/>
      <c r="BQ56" s="191"/>
      <c r="BR56" s="191"/>
      <c r="BS56" s="191"/>
      <c r="BT56" s="191"/>
      <c r="BU56" s="191"/>
      <c r="BV56" s="191"/>
      <c r="BW56" s="191"/>
      <c r="BX56" s="191"/>
      <c r="BY56" s="191"/>
      <c r="BZ56" s="191"/>
      <c r="CA56" s="191"/>
      <c r="CB56" s="191"/>
      <c r="CC56" s="191"/>
      <c r="CD56" s="191"/>
      <c r="CE56" s="191"/>
      <c r="CF56" s="191"/>
      <c r="CG56" s="191"/>
      <c r="CH56" s="191"/>
      <c r="CI56" s="191"/>
      <c r="CJ56" s="191"/>
      <c r="CK56" s="191"/>
      <c r="CL56" s="191"/>
      <c r="CM56" s="191"/>
      <c r="CN56" s="191"/>
      <c r="CO56" s="191"/>
      <c r="CP56" s="191"/>
      <c r="CQ56" s="191"/>
    </row>
    <row r="57" spans="1:95" customFormat="1">
      <c r="A57" s="656"/>
      <c r="F57" s="12" t="str">
        <f t="shared" si="27"/>
        <v xml:space="preserve"> </v>
      </c>
      <c r="G57" s="228">
        <v>0</v>
      </c>
      <c r="H57" s="13" t="str">
        <f t="shared" ca="1" si="23"/>
        <v xml:space="preserve">Guerrier né
Résistance accrue </v>
      </c>
      <c r="I57" s="697"/>
      <c r="J57" s="12" t="str">
        <f t="shared" si="20"/>
        <v>Grand voyageur</v>
      </c>
      <c r="K57" s="182">
        <f t="shared" ca="1" si="17"/>
        <v>0</v>
      </c>
      <c r="L57" s="13" t="str">
        <f t="shared" ca="1" si="24"/>
        <v>Guerrier né
Résistance accrue 
Combat de rue
Dur à cuir
Combat virevoltant
Coup puissant 
Grand voyageur</v>
      </c>
      <c r="M57" s="697"/>
      <c r="N57" s="12" t="str">
        <f t="shared" si="21"/>
        <v xml:space="preserve">Sociable </v>
      </c>
      <c r="O57" s="188">
        <f t="shared" ca="1" si="18"/>
        <v>0</v>
      </c>
      <c r="P57" s="13" t="str">
        <f t="shared" ca="1" si="25"/>
        <v xml:space="preserve">Guerrier né
Résistance accrue 
Combat de rue
Dur à cuir
Combat virevoltant
Coup puissant 
Grand voyageur
Dur en affaires
Etiquette
Sang froid 
Sociable </v>
      </c>
      <c r="Q57" s="697"/>
      <c r="R57" s="12" t="str">
        <f t="shared" si="22"/>
        <v xml:space="preserve"> </v>
      </c>
      <c r="S57" s="188">
        <f t="shared" ca="1" si="19"/>
        <v>188</v>
      </c>
      <c r="T57" s="13" t="str">
        <f t="shared" ca="1" si="26"/>
        <v>Guerrier né
Résistance accrue 
Combat de rue
Dur à cuir
Combat virevoltant
Coup puissant 
Grand voyageur
Dur en affaires
Etiquette
Sang froid 
Sociable 
Code de la rue 
Résistance aux maladies</v>
      </c>
      <c r="U57" s="697"/>
      <c r="V57" s="191"/>
      <c r="W57" s="191"/>
      <c r="Z57" s="191"/>
      <c r="AA57" s="241"/>
      <c r="AB57" s="229"/>
      <c r="AC57" s="247"/>
      <c r="AD57" s="248"/>
      <c r="AE57" s="132"/>
      <c r="AF57" s="237"/>
      <c r="AG57" s="237"/>
      <c r="AH57" s="237"/>
      <c r="AI57" s="237"/>
      <c r="AJ57" s="237"/>
      <c r="AK57" s="237"/>
      <c r="AL57" s="237"/>
      <c r="AM57" s="71"/>
      <c r="AN57" s="71"/>
      <c r="AO57" s="71"/>
      <c r="AP57" s="71"/>
      <c r="AQ57" s="71"/>
      <c r="AR57" s="237"/>
      <c r="AS57" s="191"/>
      <c r="AT57" s="191"/>
      <c r="AU57" s="191"/>
      <c r="AV57" s="191"/>
      <c r="AW57" s="191"/>
      <c r="AX57" s="191"/>
      <c r="AY57" s="191"/>
      <c r="AZ57" s="191"/>
      <c r="BA57" s="191"/>
      <c r="BB57" s="191"/>
      <c r="BC57" s="191"/>
      <c r="BD57" s="191"/>
      <c r="BE57" s="191"/>
      <c r="BF57" s="191"/>
      <c r="BG57" s="191"/>
      <c r="BH57" s="191"/>
      <c r="BI57" s="191"/>
      <c r="BJ57" s="191"/>
      <c r="BK57" s="191"/>
      <c r="BL57" s="191"/>
      <c r="BM57" s="191"/>
      <c r="BN57" s="191"/>
      <c r="BO57" s="191"/>
      <c r="BP57" s="191"/>
      <c r="BQ57" s="191"/>
      <c r="BR57" s="191"/>
      <c r="BS57" s="191"/>
      <c r="BT57" s="191"/>
      <c r="BU57" s="191"/>
      <c r="BV57" s="191"/>
      <c r="BW57" s="191"/>
      <c r="BX57" s="191"/>
      <c r="BY57" s="191"/>
      <c r="BZ57" s="191"/>
      <c r="CA57" s="191"/>
      <c r="CB57" s="191"/>
      <c r="CC57" s="191"/>
      <c r="CD57" s="191"/>
      <c r="CE57" s="191"/>
      <c r="CF57" s="191"/>
      <c r="CG57" s="191"/>
      <c r="CH57" s="191"/>
      <c r="CI57" s="191"/>
      <c r="CJ57" s="191"/>
      <c r="CK57" s="191"/>
      <c r="CL57" s="191"/>
      <c r="CM57" s="191"/>
      <c r="CN57" s="191"/>
      <c r="CO57" s="191"/>
      <c r="CP57" s="191"/>
      <c r="CQ57" s="191"/>
    </row>
    <row r="58" spans="1:95" customFormat="1">
      <c r="A58" s="656"/>
      <c r="F58" s="12" t="str">
        <f t="shared" si="27"/>
        <v xml:space="preserve"> </v>
      </c>
      <c r="G58" s="228">
        <v>0</v>
      </c>
      <c r="H58" s="13" t="str">
        <f t="shared" ca="1" si="23"/>
        <v xml:space="preserve">Guerrier né
Résistance accrue </v>
      </c>
      <c r="I58" s="697"/>
      <c r="J58" s="12" t="str">
        <f t="shared" si="20"/>
        <v xml:space="preserve"> </v>
      </c>
      <c r="K58" s="182">
        <f t="shared" ca="1" si="17"/>
        <v>72</v>
      </c>
      <c r="L58" s="13" t="str">
        <f t="shared" ca="1" si="24"/>
        <v>Guerrier né
Résistance accrue 
Combat de rue
Dur à cuir
Combat virevoltant
Coup puissant 
Grand voyageur</v>
      </c>
      <c r="M58" s="697"/>
      <c r="N58" s="12" t="str">
        <f t="shared" si="21"/>
        <v xml:space="preserve"> </v>
      </c>
      <c r="O58" s="188">
        <f t="shared" ca="1" si="18"/>
        <v>129</v>
      </c>
      <c r="P58" s="13" t="str">
        <f t="shared" ca="1" si="25"/>
        <v xml:space="preserve">Guerrier né
Résistance accrue 
Combat de rue
Dur à cuir
Combat virevoltant
Coup puissant 
Grand voyageur
Dur en affaires
Etiquette
Sang froid 
Sociable </v>
      </c>
      <c r="Q58" s="697"/>
      <c r="R58" s="12" t="str">
        <f t="shared" si="22"/>
        <v xml:space="preserve"> </v>
      </c>
      <c r="S58" s="188">
        <f t="shared" ca="1" si="19"/>
        <v>188</v>
      </c>
      <c r="T58" s="13" t="str">
        <f t="shared" ca="1" si="26"/>
        <v>Guerrier né
Résistance accrue 
Combat de rue
Dur à cuir
Combat virevoltant
Coup puissant 
Grand voyageur
Dur en affaires
Etiquette
Sang froid 
Sociable 
Code de la rue 
Résistance aux maladies</v>
      </c>
      <c r="U58" s="697"/>
      <c r="V58" s="191"/>
      <c r="W58" s="191"/>
      <c r="Z58" s="191"/>
      <c r="AA58" s="241"/>
      <c r="AB58" s="229"/>
      <c r="AC58" s="247"/>
      <c r="AD58" s="248"/>
      <c r="AE58" s="132"/>
      <c r="AF58" s="237"/>
      <c r="AG58" s="237"/>
      <c r="AH58" s="237"/>
      <c r="AI58" s="237"/>
      <c r="AJ58" s="237"/>
      <c r="AK58" s="237"/>
      <c r="AL58" s="237"/>
      <c r="AM58" s="71"/>
      <c r="AN58" s="71"/>
      <c r="AO58" s="71"/>
      <c r="AP58" s="71"/>
      <c r="AQ58" s="71"/>
      <c r="AR58" s="237"/>
      <c r="AS58" s="191"/>
      <c r="AT58" s="191"/>
      <c r="AU58" s="191"/>
      <c r="AV58" s="191"/>
      <c r="AW58" s="191"/>
      <c r="AX58" s="191"/>
      <c r="AY58" s="191"/>
      <c r="AZ58" s="191"/>
      <c r="BA58" s="191"/>
      <c r="BB58" s="191"/>
      <c r="BC58" s="191"/>
      <c r="BD58" s="191"/>
      <c r="BE58" s="191"/>
      <c r="BF58" s="191"/>
      <c r="BG58" s="191"/>
      <c r="BH58" s="191"/>
      <c r="BI58" s="191"/>
      <c r="BJ58" s="191"/>
      <c r="BK58" s="191"/>
      <c r="BL58" s="191"/>
      <c r="BM58" s="191"/>
      <c r="BN58" s="191"/>
      <c r="BO58" s="191"/>
      <c r="BP58" s="191"/>
      <c r="BQ58" s="191"/>
      <c r="BR58" s="191"/>
      <c r="BS58" s="191"/>
      <c r="BT58" s="191"/>
      <c r="BU58" s="191"/>
      <c r="BV58" s="191"/>
      <c r="BW58" s="191"/>
      <c r="BX58" s="191"/>
      <c r="BY58" s="191"/>
      <c r="BZ58" s="191"/>
      <c r="CA58" s="191"/>
      <c r="CB58" s="191"/>
      <c r="CC58" s="191"/>
      <c r="CD58" s="191"/>
      <c r="CE58" s="191"/>
      <c r="CF58" s="191"/>
      <c r="CG58" s="191"/>
      <c r="CH58" s="191"/>
      <c r="CI58" s="191"/>
      <c r="CJ58" s="191"/>
      <c r="CK58" s="191"/>
      <c r="CL58" s="191"/>
      <c r="CM58" s="191"/>
      <c r="CN58" s="191"/>
      <c r="CO58" s="191"/>
      <c r="CP58" s="191"/>
      <c r="CQ58" s="191"/>
    </row>
    <row r="59" spans="1:95" customFormat="1">
      <c r="A59" s="656"/>
      <c r="F59" s="12" t="str">
        <f t="shared" si="27"/>
        <v xml:space="preserve"> </v>
      </c>
      <c r="G59" s="228">
        <v>0</v>
      </c>
      <c r="H59" s="13" t="str">
        <f t="shared" ca="1" si="23"/>
        <v xml:space="preserve">Guerrier né
Résistance accrue </v>
      </c>
      <c r="I59" s="697"/>
      <c r="J59" s="12" t="str">
        <f t="shared" si="20"/>
        <v xml:space="preserve"> </v>
      </c>
      <c r="K59" s="182">
        <f t="shared" ca="1" si="17"/>
        <v>72</v>
      </c>
      <c r="L59" s="13" t="str">
        <f t="shared" ca="1" si="24"/>
        <v>Guerrier né
Résistance accrue 
Combat de rue
Dur à cuir
Combat virevoltant
Coup puissant 
Grand voyageur</v>
      </c>
      <c r="M59" s="697"/>
      <c r="N59" s="12" t="str">
        <f t="shared" si="21"/>
        <v xml:space="preserve"> </v>
      </c>
      <c r="O59" s="188">
        <f t="shared" ca="1" si="18"/>
        <v>129</v>
      </c>
      <c r="P59" s="13" t="str">
        <f t="shared" ca="1" si="25"/>
        <v xml:space="preserve">Guerrier né
Résistance accrue 
Combat de rue
Dur à cuir
Combat virevoltant
Coup puissant 
Grand voyageur
Dur en affaires
Etiquette
Sang froid 
Sociable </v>
      </c>
      <c r="Q59" s="697"/>
      <c r="R59" s="12" t="str">
        <f t="shared" si="22"/>
        <v xml:space="preserve"> </v>
      </c>
      <c r="S59" s="188">
        <f t="shared" ca="1" si="19"/>
        <v>188</v>
      </c>
      <c r="T59" s="13" t="str">
        <f t="shared" ca="1" si="26"/>
        <v>Guerrier né
Résistance accrue 
Combat de rue
Dur à cuir
Combat virevoltant
Coup puissant 
Grand voyageur
Dur en affaires
Etiquette
Sang froid 
Sociable 
Code de la rue 
Résistance aux maladies</v>
      </c>
      <c r="U59" s="697"/>
      <c r="V59" s="191"/>
      <c r="W59" s="191"/>
      <c r="Z59" s="191"/>
      <c r="AA59" s="241"/>
      <c r="AB59" s="229"/>
      <c r="AC59" s="247"/>
      <c r="AD59" s="248"/>
      <c r="AE59" s="132"/>
      <c r="AF59" s="237"/>
      <c r="AG59" s="237"/>
      <c r="AH59" s="237"/>
      <c r="AI59" s="237"/>
      <c r="AJ59" s="237"/>
      <c r="AK59" s="237"/>
      <c r="AL59" s="237"/>
      <c r="AM59" s="71"/>
      <c r="AN59" s="71"/>
      <c r="AO59" s="71"/>
      <c r="AP59" s="71"/>
      <c r="AQ59" s="71"/>
      <c r="AR59" s="237"/>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1"/>
      <c r="BR59" s="191"/>
      <c r="BS59" s="191"/>
      <c r="BT59" s="191"/>
      <c r="BU59" s="191"/>
      <c r="BV59" s="191"/>
      <c r="BW59" s="191"/>
      <c r="BX59" s="191"/>
      <c r="BY59" s="191"/>
      <c r="BZ59" s="191"/>
      <c r="CA59" s="191"/>
      <c r="CB59" s="191"/>
      <c r="CC59" s="191"/>
      <c r="CD59" s="191"/>
      <c r="CE59" s="191"/>
      <c r="CF59" s="191"/>
      <c r="CG59" s="191"/>
      <c r="CH59" s="191"/>
      <c r="CI59" s="191"/>
      <c r="CJ59" s="191"/>
      <c r="CK59" s="191"/>
      <c r="CL59" s="191"/>
      <c r="CM59" s="191"/>
      <c r="CN59" s="191"/>
      <c r="CO59" s="191"/>
      <c r="CP59" s="191"/>
      <c r="CQ59" s="191"/>
    </row>
    <row r="60" spans="1:95" customFormat="1">
      <c r="A60" s="656"/>
      <c r="F60" s="12" t="str">
        <f t="shared" si="27"/>
        <v xml:space="preserve"> </v>
      </c>
      <c r="G60" s="228">
        <v>0</v>
      </c>
      <c r="H60" s="13" t="str">
        <f t="shared" ca="1" si="23"/>
        <v xml:space="preserve">Guerrier né
Résistance accrue </v>
      </c>
      <c r="I60" s="697"/>
      <c r="J60" s="12" t="str">
        <f t="shared" si="20"/>
        <v xml:space="preserve"> </v>
      </c>
      <c r="K60" s="182">
        <f t="shared" ca="1" si="17"/>
        <v>72</v>
      </c>
      <c r="L60" s="13" t="str">
        <f t="shared" ca="1" si="24"/>
        <v>Guerrier né
Résistance accrue 
Combat de rue
Dur à cuir
Combat virevoltant
Coup puissant 
Grand voyageur</v>
      </c>
      <c r="M60" s="697"/>
      <c r="N60" s="12" t="str">
        <f t="shared" si="21"/>
        <v xml:space="preserve"> </v>
      </c>
      <c r="O60" s="188">
        <f t="shared" ca="1" si="18"/>
        <v>129</v>
      </c>
      <c r="P60" s="13" t="str">
        <f t="shared" ca="1" si="25"/>
        <v xml:space="preserve">Guerrier né
Résistance accrue 
Combat de rue
Dur à cuir
Combat virevoltant
Coup puissant 
Grand voyageur
Dur en affaires
Etiquette
Sang froid 
Sociable </v>
      </c>
      <c r="Q60" s="697"/>
      <c r="R60" s="12" t="str">
        <f t="shared" si="22"/>
        <v xml:space="preserve"> </v>
      </c>
      <c r="S60" s="188">
        <f t="shared" ca="1" si="19"/>
        <v>188</v>
      </c>
      <c r="T60" s="13" t="str">
        <f t="shared" ca="1" si="26"/>
        <v>Guerrier né
Résistance accrue 
Combat de rue
Dur à cuir
Combat virevoltant
Coup puissant 
Grand voyageur
Dur en affaires
Etiquette
Sang froid 
Sociable 
Code de la rue 
Résistance aux maladies</v>
      </c>
      <c r="U60" s="697"/>
      <c r="V60" s="191"/>
      <c r="W60" s="191"/>
      <c r="Z60" s="191"/>
      <c r="AA60" s="241"/>
      <c r="AB60" s="229"/>
      <c r="AC60" s="247"/>
      <c r="AD60" s="248"/>
      <c r="AE60" s="132"/>
      <c r="AF60" s="237"/>
      <c r="AG60" s="237"/>
      <c r="AH60" s="237"/>
      <c r="AI60" s="237"/>
      <c r="AJ60" s="237"/>
      <c r="AK60" s="237"/>
      <c r="AL60" s="237"/>
      <c r="AM60" s="71"/>
      <c r="AN60" s="71"/>
      <c r="AO60" s="71"/>
      <c r="AP60" s="71"/>
      <c r="AQ60" s="71"/>
      <c r="AR60" s="237"/>
      <c r="AS60" s="191"/>
      <c r="AT60" s="191"/>
      <c r="AU60" s="191"/>
      <c r="AV60" s="191"/>
      <c r="AW60" s="191"/>
      <c r="AX60" s="191"/>
      <c r="AY60" s="191"/>
      <c r="AZ60" s="191"/>
      <c r="BA60" s="191"/>
      <c r="BB60" s="191"/>
      <c r="BC60" s="191"/>
      <c r="BD60" s="191"/>
      <c r="BE60" s="191"/>
      <c r="BF60" s="191"/>
      <c r="BG60" s="191"/>
      <c r="BH60" s="191"/>
      <c r="BI60" s="191"/>
      <c r="BJ60" s="191"/>
      <c r="BK60" s="191"/>
      <c r="BL60" s="191"/>
      <c r="BM60" s="191"/>
      <c r="BN60" s="191"/>
      <c r="BO60" s="191"/>
      <c r="BP60" s="191"/>
      <c r="BQ60" s="191"/>
      <c r="BR60" s="191"/>
      <c r="BS60" s="191"/>
      <c r="BT60" s="191"/>
      <c r="BU60" s="191"/>
      <c r="BV60" s="191"/>
      <c r="BW60" s="191"/>
      <c r="BX60" s="191"/>
      <c r="BY60" s="191"/>
      <c r="BZ60" s="191"/>
      <c r="CA60" s="191"/>
      <c r="CB60" s="191"/>
      <c r="CC60" s="191"/>
      <c r="CD60" s="191"/>
      <c r="CE60" s="191"/>
      <c r="CF60" s="191"/>
      <c r="CG60" s="191"/>
      <c r="CH60" s="191"/>
      <c r="CI60" s="191"/>
      <c r="CJ60" s="191"/>
      <c r="CK60" s="191"/>
      <c r="CL60" s="191"/>
      <c r="CM60" s="191"/>
      <c r="CN60" s="191"/>
      <c r="CO60" s="191"/>
      <c r="CP60" s="191"/>
      <c r="CQ60" s="191"/>
    </row>
    <row r="61" spans="1:95" customFormat="1">
      <c r="A61" s="656"/>
      <c r="F61" s="12" t="str">
        <f t="shared" si="27"/>
        <v xml:space="preserve"> </v>
      </c>
      <c r="G61" s="228">
        <v>0</v>
      </c>
      <c r="H61" s="13" t="str">
        <f t="shared" ca="1" si="23"/>
        <v xml:space="preserve">Guerrier né
Résistance accrue </v>
      </c>
      <c r="I61" s="697"/>
      <c r="J61" s="12" t="str">
        <f t="shared" si="20"/>
        <v xml:space="preserve"> </v>
      </c>
      <c r="K61" s="182">
        <f t="shared" ca="1" si="17"/>
        <v>72</v>
      </c>
      <c r="L61" s="13" t="str">
        <f t="shared" ca="1" si="24"/>
        <v>Guerrier né
Résistance accrue 
Combat de rue
Dur à cuir
Combat virevoltant
Coup puissant 
Grand voyageur</v>
      </c>
      <c r="M61" s="697"/>
      <c r="N61" s="12" t="str">
        <f t="shared" si="21"/>
        <v xml:space="preserve"> </v>
      </c>
      <c r="O61" s="188">
        <f t="shared" ca="1" si="18"/>
        <v>129</v>
      </c>
      <c r="P61" s="13" t="str">
        <f t="shared" ca="1" si="25"/>
        <v xml:space="preserve">Guerrier né
Résistance accrue 
Combat de rue
Dur à cuir
Combat virevoltant
Coup puissant 
Grand voyageur
Dur en affaires
Etiquette
Sang froid 
Sociable </v>
      </c>
      <c r="Q61" s="697"/>
      <c r="R61" s="12" t="str">
        <f t="shared" si="22"/>
        <v xml:space="preserve"> </v>
      </c>
      <c r="S61" s="188">
        <f t="shared" ca="1" si="19"/>
        <v>188</v>
      </c>
      <c r="T61" s="13" t="str">
        <f t="shared" ca="1" si="26"/>
        <v>Guerrier né
Résistance accrue 
Combat de rue
Dur à cuir
Combat virevoltant
Coup puissant 
Grand voyageur
Dur en affaires
Etiquette
Sang froid 
Sociable 
Code de la rue 
Résistance aux maladies</v>
      </c>
      <c r="U61" s="697"/>
      <c r="V61" s="191"/>
      <c r="W61" s="191"/>
      <c r="Z61" s="191"/>
      <c r="AA61" s="241"/>
      <c r="AB61" s="229"/>
      <c r="AC61" s="247"/>
      <c r="AD61" s="248"/>
      <c r="AE61" s="132"/>
      <c r="AF61" s="237"/>
      <c r="AG61" s="237"/>
      <c r="AH61" s="237"/>
      <c r="AI61" s="237"/>
      <c r="AJ61" s="237"/>
      <c r="AK61" s="237"/>
      <c r="AL61" s="237"/>
      <c r="AM61" s="237"/>
      <c r="AN61" s="237"/>
      <c r="AO61" s="237"/>
      <c r="AP61" s="237"/>
      <c r="AQ61" s="237"/>
      <c r="AR61" s="237"/>
      <c r="AS61" s="191"/>
      <c r="AT61" s="191"/>
      <c r="AU61" s="191"/>
      <c r="AV61" s="191"/>
      <c r="AW61" s="191"/>
      <c r="AX61" s="191"/>
      <c r="AY61" s="191"/>
      <c r="AZ61" s="191"/>
      <c r="BA61" s="191"/>
      <c r="BB61" s="191"/>
      <c r="BC61" s="191"/>
      <c r="BD61" s="191"/>
      <c r="BE61" s="191"/>
      <c r="BF61" s="191"/>
      <c r="BG61" s="191"/>
      <c r="BH61" s="191"/>
      <c r="BI61" s="191"/>
      <c r="BJ61" s="191"/>
      <c r="BK61" s="191"/>
      <c r="BL61" s="191"/>
      <c r="BM61" s="191"/>
      <c r="BN61" s="191"/>
      <c r="BO61" s="191"/>
      <c r="BP61" s="191"/>
      <c r="BQ61" s="191"/>
      <c r="BR61" s="191"/>
      <c r="BS61" s="191"/>
      <c r="BT61" s="191"/>
      <c r="BU61" s="191"/>
      <c r="BV61" s="191"/>
      <c r="BW61" s="191"/>
      <c r="BX61" s="191"/>
      <c r="BY61" s="191"/>
      <c r="BZ61" s="191"/>
      <c r="CA61" s="191"/>
      <c r="CB61" s="191"/>
      <c r="CC61" s="191"/>
      <c r="CD61" s="191"/>
      <c r="CE61" s="191"/>
      <c r="CF61" s="191"/>
      <c r="CG61" s="191"/>
      <c r="CH61" s="191"/>
      <c r="CI61" s="191"/>
      <c r="CJ61" s="191"/>
      <c r="CK61" s="191"/>
      <c r="CL61" s="191"/>
      <c r="CM61" s="191"/>
      <c r="CN61" s="191"/>
      <c r="CO61" s="191"/>
      <c r="CP61" s="191"/>
      <c r="CQ61" s="191"/>
    </row>
    <row r="62" spans="1:95" customFormat="1">
      <c r="A62" s="656"/>
      <c r="F62" s="12" t="str">
        <f t="shared" si="27"/>
        <v xml:space="preserve"> </v>
      </c>
      <c r="G62" s="228">
        <v>0</v>
      </c>
      <c r="H62" s="13" t="str">
        <f t="shared" ca="1" si="23"/>
        <v xml:space="preserve">Guerrier né
Résistance accrue </v>
      </c>
      <c r="I62" s="697"/>
      <c r="J62" s="12" t="str">
        <f t="shared" si="20"/>
        <v xml:space="preserve"> </v>
      </c>
      <c r="K62" s="182">
        <f t="shared" ca="1" si="17"/>
        <v>72</v>
      </c>
      <c r="L62" s="13" t="str">
        <f t="shared" ca="1" si="24"/>
        <v>Guerrier né
Résistance accrue 
Combat de rue
Dur à cuir
Combat virevoltant
Coup puissant 
Grand voyageur</v>
      </c>
      <c r="M62" s="697"/>
      <c r="N62" s="12" t="str">
        <f t="shared" si="21"/>
        <v xml:space="preserve"> </v>
      </c>
      <c r="O62" s="188">
        <f t="shared" ca="1" si="18"/>
        <v>129</v>
      </c>
      <c r="P62" s="13" t="str">
        <f t="shared" ca="1" si="25"/>
        <v xml:space="preserve">Guerrier né
Résistance accrue 
Combat de rue
Dur à cuir
Combat virevoltant
Coup puissant 
Grand voyageur
Dur en affaires
Etiquette
Sang froid 
Sociable </v>
      </c>
      <c r="Q62" s="697"/>
      <c r="R62" s="12" t="str">
        <f t="shared" si="22"/>
        <v xml:space="preserve"> </v>
      </c>
      <c r="S62" s="188">
        <f t="shared" ca="1" si="19"/>
        <v>188</v>
      </c>
      <c r="T62" s="13" t="str">
        <f t="shared" ca="1" si="26"/>
        <v>Guerrier né
Résistance accrue 
Combat de rue
Dur à cuir
Combat virevoltant
Coup puissant 
Grand voyageur
Dur en affaires
Etiquette
Sang froid 
Sociable 
Code de la rue 
Résistance aux maladies</v>
      </c>
      <c r="U62" s="697"/>
      <c r="V62" s="191"/>
      <c r="W62" s="191"/>
      <c r="Z62" s="191"/>
      <c r="AA62" s="241"/>
      <c r="AB62" s="229"/>
      <c r="AC62" s="247"/>
      <c r="AD62" s="248"/>
      <c r="AE62" s="132"/>
      <c r="AF62" s="237"/>
      <c r="AG62" s="237"/>
      <c r="AH62" s="237"/>
      <c r="AI62" s="237"/>
      <c r="AJ62" s="237"/>
      <c r="AK62" s="237"/>
      <c r="AL62" s="237"/>
      <c r="AM62" s="237"/>
      <c r="AN62" s="237"/>
      <c r="AO62" s="237"/>
      <c r="AP62" s="237"/>
      <c r="AQ62" s="237"/>
      <c r="AR62" s="237"/>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1"/>
      <c r="BR62" s="191"/>
      <c r="BS62" s="191"/>
      <c r="BT62" s="191"/>
      <c r="BU62" s="191"/>
      <c r="BV62" s="191"/>
      <c r="BW62" s="191"/>
      <c r="BX62" s="191"/>
      <c r="BY62" s="191"/>
      <c r="BZ62" s="191"/>
      <c r="CA62" s="191"/>
      <c r="CB62" s="191"/>
      <c r="CC62" s="191"/>
      <c r="CD62" s="191"/>
      <c r="CE62" s="191"/>
      <c r="CF62" s="191"/>
      <c r="CG62" s="191"/>
      <c r="CH62" s="191"/>
      <c r="CI62" s="191"/>
      <c r="CJ62" s="191"/>
      <c r="CK62" s="191"/>
      <c r="CL62" s="191"/>
      <c r="CM62" s="191"/>
      <c r="CN62" s="191"/>
      <c r="CO62" s="191"/>
      <c r="CP62" s="191"/>
      <c r="CQ62" s="191"/>
    </row>
    <row r="63" spans="1:95" customFormat="1">
      <c r="A63" s="656"/>
      <c r="F63" s="12" t="str">
        <f t="shared" si="27"/>
        <v xml:space="preserve"> </v>
      </c>
      <c r="G63" s="228">
        <v>0</v>
      </c>
      <c r="H63" s="13" t="str">
        <f t="shared" ca="1" si="23"/>
        <v xml:space="preserve">Guerrier né
Résistance accrue </v>
      </c>
      <c r="I63" s="697"/>
      <c r="J63" s="12" t="str">
        <f t="shared" si="20"/>
        <v xml:space="preserve"> </v>
      </c>
      <c r="K63" s="182">
        <f t="shared" ca="1" si="17"/>
        <v>72</v>
      </c>
      <c r="L63" s="13" t="str">
        <f t="shared" ca="1" si="24"/>
        <v>Guerrier né
Résistance accrue 
Combat de rue
Dur à cuir
Combat virevoltant
Coup puissant 
Grand voyageur</v>
      </c>
      <c r="M63" s="697"/>
      <c r="N63" s="12" t="str">
        <f t="shared" si="21"/>
        <v xml:space="preserve"> </v>
      </c>
      <c r="O63" s="188">
        <f t="shared" ca="1" si="18"/>
        <v>129</v>
      </c>
      <c r="P63" s="13" t="str">
        <f t="shared" ca="1" si="25"/>
        <v xml:space="preserve">Guerrier né
Résistance accrue 
Combat de rue
Dur à cuir
Combat virevoltant
Coup puissant 
Grand voyageur
Dur en affaires
Etiquette
Sang froid 
Sociable </v>
      </c>
      <c r="Q63" s="697"/>
      <c r="R63" s="12" t="str">
        <f t="shared" si="22"/>
        <v xml:space="preserve"> </v>
      </c>
      <c r="S63" s="188">
        <f t="shared" ca="1" si="19"/>
        <v>188</v>
      </c>
      <c r="T63" s="13" t="str">
        <f t="shared" ca="1" si="26"/>
        <v>Guerrier né
Résistance accrue 
Combat de rue
Dur à cuir
Combat virevoltant
Coup puissant 
Grand voyageur
Dur en affaires
Etiquette
Sang froid 
Sociable 
Code de la rue 
Résistance aux maladies</v>
      </c>
      <c r="U63" s="697"/>
      <c r="V63" s="191"/>
      <c r="W63" s="191"/>
      <c r="AA63" s="191"/>
      <c r="AB63" s="229"/>
      <c r="AC63" s="229"/>
      <c r="AD63" s="237"/>
      <c r="AE63" s="237"/>
      <c r="AF63" s="237"/>
      <c r="AG63" s="237"/>
      <c r="AH63" s="237"/>
      <c r="AI63" s="237"/>
      <c r="AJ63" s="237"/>
      <c r="AK63" s="237"/>
      <c r="AL63" s="237"/>
      <c r="AM63" s="237"/>
      <c r="AN63" s="237"/>
      <c r="AO63" s="237"/>
      <c r="AP63" s="237"/>
      <c r="AQ63" s="237"/>
      <c r="AR63" s="237"/>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c r="BY63" s="191"/>
      <c r="BZ63" s="191"/>
      <c r="CA63" s="191"/>
      <c r="CB63" s="191"/>
      <c r="CC63" s="191"/>
      <c r="CD63" s="191"/>
      <c r="CE63" s="191"/>
      <c r="CF63" s="191"/>
      <c r="CG63" s="191"/>
      <c r="CH63" s="191"/>
      <c r="CI63" s="191"/>
      <c r="CJ63" s="191"/>
      <c r="CK63" s="191"/>
      <c r="CL63" s="191"/>
      <c r="CM63" s="191"/>
      <c r="CN63" s="191"/>
      <c r="CO63" s="191"/>
      <c r="CP63" s="191"/>
      <c r="CQ63" s="191"/>
    </row>
    <row r="64" spans="1:95" customFormat="1">
      <c r="A64" s="656"/>
      <c r="F64" s="12" t="str">
        <f t="shared" si="27"/>
        <v xml:space="preserve"> </v>
      </c>
      <c r="G64" s="228">
        <v>0</v>
      </c>
      <c r="H64" s="13" t="str">
        <f t="shared" ca="1" si="23"/>
        <v xml:space="preserve">Guerrier né
Résistance accrue </v>
      </c>
      <c r="I64" s="697"/>
      <c r="J64" s="12" t="str">
        <f t="shared" si="20"/>
        <v xml:space="preserve"> </v>
      </c>
      <c r="K64" s="182">
        <f t="shared" ca="1" si="17"/>
        <v>72</v>
      </c>
      <c r="L64" s="13" t="str">
        <f t="shared" ca="1" si="24"/>
        <v>Guerrier né
Résistance accrue 
Combat de rue
Dur à cuir
Combat virevoltant
Coup puissant 
Grand voyageur</v>
      </c>
      <c r="M64" s="697"/>
      <c r="N64" s="12" t="str">
        <f t="shared" si="21"/>
        <v xml:space="preserve"> </v>
      </c>
      <c r="O64" s="188">
        <f t="shared" ca="1" si="18"/>
        <v>129</v>
      </c>
      <c r="P64" s="13" t="str">
        <f t="shared" ca="1" si="25"/>
        <v xml:space="preserve">Guerrier né
Résistance accrue 
Combat de rue
Dur à cuir
Combat virevoltant
Coup puissant 
Grand voyageur
Dur en affaires
Etiquette
Sang froid 
Sociable </v>
      </c>
      <c r="Q64" s="697"/>
      <c r="R64" s="12" t="str">
        <f t="shared" si="22"/>
        <v xml:space="preserve"> </v>
      </c>
      <c r="S64" s="188">
        <f t="shared" ca="1" si="19"/>
        <v>188</v>
      </c>
      <c r="T64" s="13" t="str">
        <f t="shared" ca="1" si="26"/>
        <v>Guerrier né
Résistance accrue 
Combat de rue
Dur à cuir
Combat virevoltant
Coup puissant 
Grand voyageur
Dur en affaires
Etiquette
Sang froid 
Sociable 
Code de la rue 
Résistance aux maladies</v>
      </c>
      <c r="U64" s="697"/>
      <c r="V64" s="191"/>
      <c r="W64" s="191"/>
      <c r="AA64" s="191"/>
      <c r="AB64" s="229"/>
      <c r="AC64" s="229"/>
      <c r="AD64" s="237"/>
      <c r="AE64" s="237"/>
      <c r="AF64" s="237"/>
      <c r="AG64" s="237"/>
      <c r="AH64" s="237"/>
      <c r="AI64" s="237"/>
      <c r="AJ64" s="237"/>
      <c r="AK64" s="237"/>
      <c r="AL64" s="237"/>
      <c r="AM64" s="237"/>
      <c r="AN64" s="237"/>
      <c r="AO64" s="237"/>
      <c r="AP64" s="237"/>
      <c r="AQ64" s="237"/>
      <c r="AR64" s="237"/>
      <c r="AS64" s="191"/>
      <c r="AT64" s="191"/>
      <c r="AU64" s="191"/>
      <c r="AV64" s="191"/>
      <c r="AW64" s="191"/>
      <c r="AX64" s="191"/>
      <c r="AY64" s="191"/>
      <c r="AZ64" s="191"/>
      <c r="BA64" s="191"/>
      <c r="BB64" s="191"/>
      <c r="BC64" s="191"/>
      <c r="BD64" s="191"/>
      <c r="BE64" s="191"/>
      <c r="BF64" s="191"/>
      <c r="BG64" s="191"/>
      <c r="BH64" s="191"/>
      <c r="BI64" s="191"/>
      <c r="BJ64" s="191"/>
      <c r="BK64" s="191"/>
      <c r="BL64" s="191"/>
      <c r="BM64" s="191"/>
      <c r="BN64" s="191"/>
      <c r="BO64" s="191"/>
      <c r="BP64" s="191"/>
      <c r="BQ64" s="191"/>
      <c r="BR64" s="191"/>
      <c r="BS64" s="191"/>
      <c r="BT64" s="191"/>
      <c r="BU64" s="191"/>
      <c r="BV64" s="191"/>
      <c r="BW64" s="191"/>
      <c r="BX64" s="191"/>
      <c r="BY64" s="191"/>
      <c r="BZ64" s="191"/>
      <c r="CA64" s="191"/>
      <c r="CB64" s="191"/>
      <c r="CC64" s="191"/>
      <c r="CD64" s="191"/>
      <c r="CE64" s="191"/>
      <c r="CF64" s="191"/>
      <c r="CG64" s="191"/>
      <c r="CH64" s="191"/>
      <c r="CI64" s="191"/>
      <c r="CJ64" s="191"/>
      <c r="CK64" s="191"/>
      <c r="CL64" s="191"/>
      <c r="CM64" s="191"/>
      <c r="CN64" s="191"/>
      <c r="CO64" s="191"/>
      <c r="CP64" s="191"/>
      <c r="CQ64" s="191"/>
    </row>
    <row r="65" spans="1:95" customFormat="1">
      <c r="A65" s="656"/>
      <c r="F65" s="12" t="str">
        <f t="shared" si="27"/>
        <v xml:space="preserve"> </v>
      </c>
      <c r="G65" s="228">
        <v>0</v>
      </c>
      <c r="H65" s="13" t="str">
        <f t="shared" ca="1" si="23"/>
        <v xml:space="preserve">Guerrier né
Résistance accrue </v>
      </c>
      <c r="I65" s="697"/>
      <c r="J65" s="12" t="str">
        <f t="shared" si="20"/>
        <v xml:space="preserve"> </v>
      </c>
      <c r="K65" s="182">
        <f t="shared" ca="1" si="17"/>
        <v>72</v>
      </c>
      <c r="L65" s="13" t="str">
        <f t="shared" ca="1" si="24"/>
        <v>Guerrier né
Résistance accrue 
Combat de rue
Dur à cuir
Combat virevoltant
Coup puissant 
Grand voyageur</v>
      </c>
      <c r="M65" s="697"/>
      <c r="N65" s="12" t="str">
        <f t="shared" si="21"/>
        <v xml:space="preserve"> </v>
      </c>
      <c r="O65" s="188">
        <f t="shared" ca="1" si="18"/>
        <v>129</v>
      </c>
      <c r="P65" s="13" t="str">
        <f t="shared" ca="1" si="25"/>
        <v xml:space="preserve">Guerrier né
Résistance accrue 
Combat de rue
Dur à cuir
Combat virevoltant
Coup puissant 
Grand voyageur
Dur en affaires
Etiquette
Sang froid 
Sociable </v>
      </c>
      <c r="Q65" s="697"/>
      <c r="R65" s="12" t="str">
        <f t="shared" si="22"/>
        <v xml:space="preserve"> </v>
      </c>
      <c r="S65" s="188">
        <f t="shared" ca="1" si="19"/>
        <v>188</v>
      </c>
      <c r="T65" s="13" t="str">
        <f t="shared" ca="1" si="26"/>
        <v>Guerrier né
Résistance accrue 
Combat de rue
Dur à cuir
Combat virevoltant
Coup puissant 
Grand voyageur
Dur en affaires
Etiquette
Sang froid 
Sociable 
Code de la rue 
Résistance aux maladies</v>
      </c>
      <c r="U65" s="697"/>
      <c r="V65" s="191"/>
      <c r="W65" s="191"/>
      <c r="AA65" s="191"/>
      <c r="AB65" s="229"/>
      <c r="AC65" s="229"/>
      <c r="AD65" s="237"/>
      <c r="AE65" s="237"/>
      <c r="AF65" s="237"/>
      <c r="AG65" s="237"/>
      <c r="AH65" s="237"/>
      <c r="AI65" s="237"/>
      <c r="AJ65" s="237"/>
      <c r="AK65" s="237"/>
      <c r="AL65" s="237"/>
      <c r="AM65" s="237"/>
      <c r="AN65" s="237"/>
      <c r="AO65" s="237"/>
      <c r="AP65" s="237"/>
      <c r="AQ65" s="237"/>
      <c r="AR65" s="237"/>
      <c r="AS65" s="191"/>
      <c r="AT65" s="191"/>
      <c r="AU65" s="191"/>
      <c r="AV65" s="191"/>
      <c r="AW65" s="191"/>
      <c r="AX65" s="191"/>
      <c r="AY65" s="191"/>
      <c r="AZ65" s="191"/>
      <c r="BA65" s="191"/>
      <c r="BB65" s="191"/>
      <c r="BC65" s="191"/>
      <c r="BD65" s="191"/>
      <c r="BE65" s="191"/>
      <c r="BF65" s="191"/>
      <c r="BG65" s="191"/>
      <c r="BH65" s="191"/>
      <c r="BI65" s="191"/>
      <c r="BJ65" s="191"/>
      <c r="BK65" s="191"/>
      <c r="BL65" s="191"/>
      <c r="BM65" s="191"/>
      <c r="BN65" s="191"/>
      <c r="BO65" s="191"/>
      <c r="BP65" s="191"/>
      <c r="BQ65" s="191"/>
      <c r="BR65" s="191"/>
      <c r="BS65" s="191"/>
      <c r="BT65" s="191"/>
      <c r="BU65" s="191"/>
      <c r="BV65" s="191"/>
      <c r="BW65" s="191"/>
      <c r="BX65" s="191"/>
      <c r="BY65" s="191"/>
      <c r="BZ65" s="191"/>
      <c r="CA65" s="191"/>
      <c r="CB65" s="191"/>
      <c r="CC65" s="191"/>
      <c r="CD65" s="191"/>
      <c r="CE65" s="191"/>
      <c r="CF65" s="191"/>
      <c r="CG65" s="191"/>
      <c r="CH65" s="191"/>
      <c r="CI65" s="191"/>
      <c r="CJ65" s="191"/>
      <c r="CK65" s="191"/>
      <c r="CL65" s="191"/>
      <c r="CM65" s="191"/>
      <c r="CN65" s="191"/>
      <c r="CO65" s="191"/>
      <c r="CP65" s="191"/>
      <c r="CQ65" s="191"/>
    </row>
    <row r="66" spans="1:95" customFormat="1">
      <c r="A66" s="656"/>
      <c r="F66" s="12" t="str">
        <f t="shared" si="27"/>
        <v xml:space="preserve"> </v>
      </c>
      <c r="G66" s="228">
        <v>0</v>
      </c>
      <c r="H66" s="13" t="str">
        <f t="shared" ca="1" si="23"/>
        <v xml:space="preserve">Guerrier né
Résistance accrue </v>
      </c>
      <c r="I66" s="697"/>
      <c r="J66" s="12" t="str">
        <f t="shared" si="20"/>
        <v xml:space="preserve"> </v>
      </c>
      <c r="K66" s="182">
        <f t="shared" ca="1" si="17"/>
        <v>72</v>
      </c>
      <c r="L66" s="13" t="str">
        <f t="shared" ca="1" si="24"/>
        <v>Guerrier né
Résistance accrue 
Combat de rue
Dur à cuir
Combat virevoltant
Coup puissant 
Grand voyageur</v>
      </c>
      <c r="M66" s="697"/>
      <c r="N66" s="12" t="str">
        <f t="shared" si="21"/>
        <v xml:space="preserve"> </v>
      </c>
      <c r="O66" s="188">
        <f t="shared" ca="1" si="18"/>
        <v>129</v>
      </c>
      <c r="P66" s="13" t="str">
        <f t="shared" ca="1" si="25"/>
        <v xml:space="preserve">Guerrier né
Résistance accrue 
Combat de rue
Dur à cuir
Combat virevoltant
Coup puissant 
Grand voyageur
Dur en affaires
Etiquette
Sang froid 
Sociable </v>
      </c>
      <c r="Q66" s="697"/>
      <c r="R66" s="12" t="str">
        <f t="shared" si="22"/>
        <v xml:space="preserve"> </v>
      </c>
      <c r="S66" s="188">
        <f t="shared" ca="1" si="19"/>
        <v>188</v>
      </c>
      <c r="T66" s="13" t="str">
        <f t="shared" ca="1" si="26"/>
        <v>Guerrier né
Résistance accrue 
Combat de rue
Dur à cuir
Combat virevoltant
Coup puissant 
Grand voyageur
Dur en affaires
Etiquette
Sang froid 
Sociable 
Code de la rue 
Résistance aux maladies</v>
      </c>
      <c r="U66" s="697"/>
      <c r="V66" s="191"/>
      <c r="W66" s="191"/>
      <c r="AA66" s="191"/>
      <c r="AB66" s="229"/>
      <c r="AC66" s="229"/>
      <c r="AD66" s="237"/>
      <c r="AE66" s="237"/>
      <c r="AF66" s="237"/>
      <c r="AG66" s="237"/>
      <c r="AH66" s="237"/>
      <c r="AI66" s="237"/>
      <c r="AJ66" s="237"/>
      <c r="AK66" s="237"/>
      <c r="AL66" s="237"/>
      <c r="AM66" s="237"/>
      <c r="AN66" s="237"/>
      <c r="AO66" s="237"/>
      <c r="AP66" s="237"/>
      <c r="AQ66" s="237"/>
      <c r="AR66" s="237"/>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1"/>
      <c r="BZ66" s="191"/>
      <c r="CA66" s="191"/>
      <c r="CB66" s="191"/>
      <c r="CC66" s="191"/>
      <c r="CD66" s="191"/>
      <c r="CE66" s="191"/>
      <c r="CF66" s="191"/>
      <c r="CG66" s="191"/>
      <c r="CH66" s="191"/>
      <c r="CI66" s="191"/>
      <c r="CJ66" s="191"/>
      <c r="CK66" s="191"/>
      <c r="CL66" s="191"/>
      <c r="CM66" s="191"/>
      <c r="CN66" s="191"/>
      <c r="CO66" s="191"/>
      <c r="CP66" s="191"/>
      <c r="CQ66" s="191"/>
    </row>
    <row r="67" spans="1:95" customFormat="1">
      <c r="A67" s="656"/>
      <c r="F67" s="12" t="str">
        <f t="shared" si="27"/>
        <v xml:space="preserve"> </v>
      </c>
      <c r="G67" s="228">
        <v>0</v>
      </c>
      <c r="H67" s="13" t="str">
        <f t="shared" ca="1" si="23"/>
        <v xml:space="preserve">Guerrier né
Résistance accrue </v>
      </c>
      <c r="I67" s="697"/>
      <c r="J67" s="12" t="str">
        <f t="shared" si="20"/>
        <v xml:space="preserve"> </v>
      </c>
      <c r="K67" s="182">
        <f t="shared" ca="1" si="17"/>
        <v>72</v>
      </c>
      <c r="L67" s="13" t="str">
        <f t="shared" ca="1" si="24"/>
        <v>Guerrier né
Résistance accrue 
Combat de rue
Dur à cuir
Combat virevoltant
Coup puissant 
Grand voyageur</v>
      </c>
      <c r="M67" s="697"/>
      <c r="N67" s="12" t="str">
        <f t="shared" si="21"/>
        <v xml:space="preserve"> </v>
      </c>
      <c r="O67" s="188">
        <f t="shared" ca="1" si="18"/>
        <v>129</v>
      </c>
      <c r="P67" s="13" t="str">
        <f t="shared" ca="1" si="25"/>
        <v xml:space="preserve">Guerrier né
Résistance accrue 
Combat de rue
Dur à cuir
Combat virevoltant
Coup puissant 
Grand voyageur
Dur en affaires
Etiquette
Sang froid 
Sociable </v>
      </c>
      <c r="Q67" s="697"/>
      <c r="R67" s="12" t="str">
        <f t="shared" si="22"/>
        <v xml:space="preserve"> </v>
      </c>
      <c r="S67" s="188">
        <f t="shared" ca="1" si="19"/>
        <v>188</v>
      </c>
      <c r="T67" s="13" t="str">
        <f t="shared" ca="1" si="26"/>
        <v>Guerrier né
Résistance accrue 
Combat de rue
Dur à cuir
Combat virevoltant
Coup puissant 
Grand voyageur
Dur en affaires
Etiquette
Sang froid 
Sociable 
Code de la rue 
Résistance aux maladies</v>
      </c>
      <c r="U67" s="697"/>
      <c r="V67" s="191"/>
      <c r="W67" s="191"/>
      <c r="AB67" s="253"/>
      <c r="AC67" s="253"/>
      <c r="AD67" s="238"/>
      <c r="AE67" s="237"/>
      <c r="AF67" s="237"/>
      <c r="AG67" s="237"/>
      <c r="AH67" s="238"/>
      <c r="AI67" s="238"/>
      <c r="AJ67" s="238"/>
      <c r="AK67" s="238"/>
      <c r="AL67" s="238"/>
      <c r="AM67" s="238"/>
      <c r="AN67" s="238"/>
      <c r="AO67" s="238"/>
      <c r="AP67" s="238"/>
      <c r="AQ67" s="238"/>
      <c r="AR67" s="238"/>
    </row>
    <row r="68" spans="1:95" customFormat="1">
      <c r="A68" s="656"/>
      <c r="F68" s="12" t="str">
        <f t="shared" si="27"/>
        <v xml:space="preserve"> </v>
      </c>
      <c r="G68" s="228">
        <v>0</v>
      </c>
      <c r="H68" s="13" t="str">
        <f t="shared" ca="1" si="23"/>
        <v xml:space="preserve">Guerrier né
Résistance accrue </v>
      </c>
      <c r="I68" s="697"/>
      <c r="J68" s="12" t="str">
        <f t="shared" si="20"/>
        <v xml:space="preserve"> </v>
      </c>
      <c r="K68" s="182">
        <f t="shared" ca="1" si="17"/>
        <v>72</v>
      </c>
      <c r="L68" s="13" t="str">
        <f t="shared" ca="1" si="24"/>
        <v>Guerrier né
Résistance accrue 
Combat de rue
Dur à cuir
Combat virevoltant
Coup puissant 
Grand voyageur</v>
      </c>
      <c r="M68" s="697"/>
      <c r="N68" s="12" t="str">
        <f t="shared" si="21"/>
        <v xml:space="preserve"> </v>
      </c>
      <c r="O68" s="188">
        <f t="shared" ca="1" si="18"/>
        <v>129</v>
      </c>
      <c r="P68" s="13" t="str">
        <f t="shared" ca="1" si="25"/>
        <v xml:space="preserve">Guerrier né
Résistance accrue 
Combat de rue
Dur à cuir
Combat virevoltant
Coup puissant 
Grand voyageur
Dur en affaires
Etiquette
Sang froid 
Sociable </v>
      </c>
      <c r="Q68" s="697"/>
      <c r="R68" s="12" t="str">
        <f t="shared" si="22"/>
        <v xml:space="preserve"> </v>
      </c>
      <c r="S68" s="188">
        <f t="shared" ca="1" si="19"/>
        <v>188</v>
      </c>
      <c r="T68" s="13" t="str">
        <f t="shared" ca="1" si="26"/>
        <v>Guerrier né
Résistance accrue 
Combat de rue
Dur à cuir
Combat virevoltant
Coup puissant 
Grand voyageur
Dur en affaires
Etiquette
Sang froid 
Sociable 
Code de la rue 
Résistance aux maladies</v>
      </c>
      <c r="U68" s="697"/>
      <c r="V68" s="191"/>
      <c r="W68" s="191"/>
      <c r="AB68" s="253"/>
      <c r="AC68" s="253"/>
      <c r="AD68" s="238"/>
      <c r="AE68" s="237"/>
      <c r="AF68" s="237"/>
      <c r="AG68" s="237"/>
      <c r="AH68" s="238"/>
      <c r="AI68" s="238"/>
      <c r="AJ68" s="238"/>
      <c r="AK68" s="238"/>
      <c r="AL68" s="238"/>
      <c r="AM68" s="238"/>
      <c r="AN68" s="238"/>
      <c r="AO68" s="238"/>
      <c r="AP68" s="238"/>
      <c r="AQ68" s="238"/>
      <c r="AR68" s="238"/>
    </row>
    <row r="69" spans="1:95" customFormat="1">
      <c r="A69" s="656"/>
      <c r="F69" s="12" t="str">
        <f t="shared" si="27"/>
        <v xml:space="preserve"> </v>
      </c>
      <c r="G69" s="228">
        <v>0</v>
      </c>
      <c r="H69" s="13" t="str">
        <f t="shared" ca="1" si="23"/>
        <v xml:space="preserve">Guerrier né
Résistance accrue </v>
      </c>
      <c r="I69" s="697"/>
      <c r="J69" s="12" t="str">
        <f t="shared" si="20"/>
        <v xml:space="preserve"> </v>
      </c>
      <c r="K69" s="182">
        <f t="shared" ca="1" si="17"/>
        <v>72</v>
      </c>
      <c r="L69" s="13" t="str">
        <f t="shared" ca="1" si="24"/>
        <v>Guerrier né
Résistance accrue 
Combat de rue
Dur à cuir
Combat virevoltant
Coup puissant 
Grand voyageur</v>
      </c>
      <c r="M69" s="697"/>
      <c r="N69" s="12" t="str">
        <f t="shared" si="21"/>
        <v xml:space="preserve"> </v>
      </c>
      <c r="O69" s="188">
        <f t="shared" ca="1" si="18"/>
        <v>129</v>
      </c>
      <c r="P69" s="13" t="str">
        <f t="shared" ca="1" si="25"/>
        <v xml:space="preserve">Guerrier né
Résistance accrue 
Combat de rue
Dur à cuir
Combat virevoltant
Coup puissant 
Grand voyageur
Dur en affaires
Etiquette
Sang froid 
Sociable </v>
      </c>
      <c r="Q69" s="697"/>
      <c r="R69" s="12" t="str">
        <f t="shared" si="22"/>
        <v xml:space="preserve"> </v>
      </c>
      <c r="S69" s="188">
        <f t="shared" ca="1" si="19"/>
        <v>188</v>
      </c>
      <c r="T69" s="13" t="str">
        <f t="shared" ca="1" si="26"/>
        <v>Guerrier né
Résistance accrue 
Combat de rue
Dur à cuir
Combat virevoltant
Coup puissant 
Grand voyageur
Dur en affaires
Etiquette
Sang froid 
Sociable 
Code de la rue 
Résistance aux maladies</v>
      </c>
      <c r="U69" s="697"/>
      <c r="V69" s="191"/>
      <c r="W69" s="191"/>
      <c r="AB69" s="253"/>
      <c r="AC69" s="253"/>
      <c r="AD69" s="238"/>
      <c r="AE69" s="237"/>
      <c r="AF69" s="237"/>
      <c r="AG69" s="237"/>
      <c r="AH69" s="238"/>
      <c r="AI69" s="238"/>
      <c r="AJ69" s="238"/>
      <c r="AK69" s="238"/>
      <c r="AL69" s="238"/>
      <c r="AM69" s="238"/>
      <c r="AN69" s="238"/>
      <c r="AO69" s="238"/>
      <c r="AP69" s="238"/>
      <c r="AQ69" s="238"/>
      <c r="AR69" s="238"/>
    </row>
    <row r="70" spans="1:95" s="191" customFormat="1">
      <c r="A70" s="656"/>
      <c r="B70"/>
      <c r="C70"/>
      <c r="D70"/>
      <c r="E70"/>
      <c r="F70" s="12" t="str">
        <f t="shared" si="27"/>
        <v xml:space="preserve"> </v>
      </c>
      <c r="G70" s="228">
        <v>0</v>
      </c>
      <c r="H70" s="13" t="str">
        <f t="shared" ca="1" si="23"/>
        <v xml:space="preserve">Guerrier né
Résistance accrue </v>
      </c>
      <c r="I70" s="697"/>
      <c r="J70" s="12" t="str">
        <f t="shared" si="20"/>
        <v xml:space="preserve"> </v>
      </c>
      <c r="K70" s="182">
        <f t="shared" ca="1" si="17"/>
        <v>72</v>
      </c>
      <c r="L70" s="13" t="str">
        <f t="shared" ca="1" si="24"/>
        <v>Guerrier né
Résistance accrue 
Combat de rue
Dur à cuir
Combat virevoltant
Coup puissant 
Grand voyageur</v>
      </c>
      <c r="M70" s="697"/>
      <c r="N70" s="12" t="str">
        <f t="shared" si="21"/>
        <v xml:space="preserve"> </v>
      </c>
      <c r="O70" s="188">
        <f t="shared" ca="1" si="18"/>
        <v>129</v>
      </c>
      <c r="P70" s="13" t="str">
        <f t="shared" ca="1" si="25"/>
        <v xml:space="preserve">Guerrier né
Résistance accrue 
Combat de rue
Dur à cuir
Combat virevoltant
Coup puissant 
Grand voyageur
Dur en affaires
Etiquette
Sang froid 
Sociable </v>
      </c>
      <c r="Q70" s="697"/>
      <c r="R70" s="12" t="str">
        <f t="shared" si="22"/>
        <v xml:space="preserve"> </v>
      </c>
      <c r="S70" s="188">
        <f t="shared" ca="1" si="19"/>
        <v>188</v>
      </c>
      <c r="T70" s="13" t="str">
        <f t="shared" ca="1" si="26"/>
        <v>Guerrier né
Résistance accrue 
Combat de rue
Dur à cuir
Combat virevoltant
Coup puissant 
Grand voyageur
Dur en affaires
Etiquette
Sang froid 
Sociable 
Code de la rue 
Résistance aux maladies</v>
      </c>
      <c r="U70" s="697"/>
      <c r="AB70" s="229"/>
      <c r="AC70" s="229"/>
      <c r="AD70" s="237"/>
      <c r="AE70" s="237"/>
      <c r="AF70" s="237"/>
      <c r="AG70" s="237"/>
      <c r="AH70" s="237"/>
      <c r="AI70" s="237"/>
      <c r="AJ70" s="237"/>
      <c r="AK70" s="237"/>
      <c r="AL70" s="237"/>
      <c r="AM70" s="237"/>
      <c r="AN70" s="237"/>
      <c r="AO70" s="237"/>
      <c r="AP70" s="237"/>
      <c r="AQ70" s="237"/>
      <c r="AR70" s="237"/>
    </row>
    <row r="71" spans="1:95" s="191" customFormat="1" ht="15.75" thickBot="1">
      <c r="A71" s="656"/>
      <c r="B71"/>
      <c r="C71"/>
      <c r="D71"/>
      <c r="E71"/>
      <c r="F71" s="199" t="str">
        <f t="shared" si="27"/>
        <v xml:space="preserve"> </v>
      </c>
      <c r="G71" s="224">
        <v>0</v>
      </c>
      <c r="H71" s="13" t="str">
        <f t="shared" ca="1" si="23"/>
        <v xml:space="preserve">Guerrier né
Résistance accrue </v>
      </c>
      <c r="I71" s="698"/>
      <c r="J71" s="199" t="str">
        <f t="shared" si="20"/>
        <v xml:space="preserve"> </v>
      </c>
      <c r="K71" s="224">
        <f t="shared" ca="1" si="17"/>
        <v>72</v>
      </c>
      <c r="L71" s="13" t="str">
        <f t="shared" ca="1" si="24"/>
        <v>Guerrier né
Résistance accrue 
Combat de rue
Dur à cuir
Combat virevoltant
Coup puissant 
Grand voyageur</v>
      </c>
      <c r="M71" s="698"/>
      <c r="N71" s="199" t="str">
        <f t="shared" si="21"/>
        <v xml:space="preserve"> </v>
      </c>
      <c r="O71" s="224">
        <f t="shared" ca="1" si="18"/>
        <v>129</v>
      </c>
      <c r="P71" s="13" t="str">
        <f t="shared" ca="1" si="25"/>
        <v xml:space="preserve">Guerrier né
Résistance accrue 
Combat de rue
Dur à cuir
Combat virevoltant
Coup puissant 
Grand voyageur
Dur en affaires
Etiquette
Sang froid 
Sociable </v>
      </c>
      <c r="Q71" s="698"/>
      <c r="R71" s="199" t="str">
        <f t="shared" si="22"/>
        <v xml:space="preserve"> </v>
      </c>
      <c r="S71" s="193">
        <f t="shared" ca="1" si="19"/>
        <v>188</v>
      </c>
      <c r="T71" s="13" t="str">
        <f t="shared" ca="1" si="26"/>
        <v>Guerrier né
Résistance accrue 
Combat de rue
Dur à cuir
Combat virevoltant
Coup puissant 
Grand voyageur
Dur en affaires
Etiquette
Sang froid 
Sociable 
Code de la rue 
Résistance aux maladies</v>
      </c>
      <c r="U71" s="698"/>
      <c r="AA71" s="7"/>
      <c r="AB71" s="7"/>
      <c r="AC71" s="7"/>
      <c r="AD71" s="236"/>
      <c r="AE71" s="237"/>
      <c r="AF71" s="237"/>
      <c r="AG71" s="237"/>
      <c r="AH71" s="237"/>
      <c r="AI71" s="237"/>
      <c r="AJ71" s="237"/>
      <c r="AK71" s="237"/>
      <c r="AL71" s="237"/>
      <c r="AM71" s="237"/>
      <c r="AN71" s="237"/>
      <c r="AO71" s="237"/>
      <c r="AP71" s="237"/>
      <c r="AQ71" s="237"/>
      <c r="AR71" s="237"/>
    </row>
    <row r="72" spans="1:95" s="191" customFormat="1">
      <c r="A72" s="649" t="s">
        <v>611</v>
      </c>
      <c r="B72" s="184"/>
      <c r="C72" s="184"/>
      <c r="D72" s="184"/>
      <c r="E72" s="184"/>
      <c r="F72" s="9"/>
      <c r="G72" s="226">
        <v>0</v>
      </c>
      <c r="H72" s="13"/>
      <c r="I72" s="687">
        <f>H91</f>
        <v>0</v>
      </c>
      <c r="J72" s="9" t="str">
        <f t="shared" ref="J72:J91" si="28">EquipementC1</f>
        <v>Gilet de cuir</v>
      </c>
      <c r="K72" s="180">
        <v>0</v>
      </c>
      <c r="L72" s="13" t="str">
        <f>J72</f>
        <v>Gilet de cuir</v>
      </c>
      <c r="M72" s="696" t="str">
        <f>L91</f>
        <v>Gilet de cuir
Bouteille d'alcool fort</v>
      </c>
      <c r="N72" s="9" t="str">
        <f t="shared" ref="N72:N91" si="29">EquipementC2</f>
        <v>Parfum</v>
      </c>
      <c r="O72" s="187">
        <f t="shared" ca="1" si="18"/>
        <v>0</v>
      </c>
      <c r="P72" s="13" t="str">
        <f ca="1">IF(AND(N72&lt;&gt;" ",O72=0),CONCATENATE(M72&amp;CHAR(10)&amp;N72),M72)</f>
        <v>Gilet de cuir
Bouteille d'alcool fort
Parfum</v>
      </c>
      <c r="Q72" s="696" t="str">
        <f ca="1">P91</f>
        <v>Gilet de cuir
Bouteille d'alcool fort
Parfum
Beaux atours
Uniforme</v>
      </c>
      <c r="R72" s="9" t="str">
        <f t="shared" ref="R72:R91" si="30">EquipementC3</f>
        <v>Carriole</v>
      </c>
      <c r="S72" s="187">
        <f t="shared" ca="1" si="19"/>
        <v>0</v>
      </c>
      <c r="T72" s="13" t="str">
        <f ca="1">IF(AND(R72&lt;&gt;" ",S72=0),CONCATENATE(Q72&amp;CHAR(10)&amp;R72),Q72)</f>
        <v>Gilet de cuir
Bouteille d'alcool fort
Parfum
Beaux atours
Uniforme
Carriole</v>
      </c>
      <c r="U72" s="696" t="str">
        <f ca="1">T91</f>
        <v>Gilet de cuir
Bouteille d'alcool fort
Parfum
Beaux atours
Uniforme
Carriole
Besaces (3)</v>
      </c>
      <c r="AB72" s="229"/>
      <c r="AC72" s="229"/>
      <c r="AE72" s="237"/>
      <c r="AF72" s="237"/>
      <c r="AG72" s="237"/>
      <c r="AH72" s="237"/>
      <c r="AI72" s="237"/>
      <c r="AJ72" s="237"/>
      <c r="AK72" s="237"/>
      <c r="AL72" s="237"/>
      <c r="AM72" s="237"/>
      <c r="AN72" s="237"/>
      <c r="AO72" s="237"/>
      <c r="AP72" s="237"/>
      <c r="AQ72" s="237"/>
      <c r="AR72" s="237"/>
    </row>
    <row r="73" spans="1:95" s="191" customFormat="1">
      <c r="A73" s="650"/>
      <c r="B73" s="185"/>
      <c r="C73" s="185"/>
      <c r="D73" s="185"/>
      <c r="E73" s="185"/>
      <c r="F73" s="12" t="s">
        <v>97</v>
      </c>
      <c r="G73" s="228">
        <v>0</v>
      </c>
      <c r="H73" s="13">
        <f t="shared" ref="H73:H91" si="31">IF(F73&lt;&gt;" ",CONCATENATE(H72&amp;CHAR(10)&amp;F73),H72)</f>
        <v>0</v>
      </c>
      <c r="I73" s="688"/>
      <c r="J73" s="12" t="str">
        <f t="shared" si="28"/>
        <v>Bouteille d'alcool fort</v>
      </c>
      <c r="K73" s="182">
        <v>0</v>
      </c>
      <c r="L73" s="13" t="str">
        <f t="shared" ref="L73:L91" si="32">IF(AND(J73&lt;&gt;" ",K73=0),CONCATENATE(L72&amp;CHAR(10)&amp;J73),L72)</f>
        <v>Gilet de cuir
Bouteille d'alcool fort</v>
      </c>
      <c r="M73" s="697"/>
      <c r="N73" s="12" t="str">
        <f t="shared" si="29"/>
        <v>Beaux atours</v>
      </c>
      <c r="O73" s="188">
        <f t="shared" ca="1" si="18"/>
        <v>0</v>
      </c>
      <c r="P73" s="13" t="str">
        <f t="shared" ref="P73:P91" ca="1" si="33">IF(AND(N73&lt;&gt;" ",O73=0),CONCATENATE(P72&amp;CHAR(10)&amp;N73),P72)</f>
        <v>Gilet de cuir
Bouteille d'alcool fort
Parfum
Beaux atours</v>
      </c>
      <c r="Q73" s="697"/>
      <c r="R73" s="12" t="str">
        <f t="shared" si="30"/>
        <v>Besaces (3)</v>
      </c>
      <c r="S73" s="188">
        <f t="shared" ca="1" si="19"/>
        <v>0</v>
      </c>
      <c r="T73" s="13" t="str">
        <f t="shared" ref="T73:T91" ca="1" si="34">IF(AND(R73&lt;&gt;" ",S73=0),CONCATENATE(T72&amp;CHAR(10)&amp;R73),T72)</f>
        <v>Gilet de cuir
Bouteille d'alcool fort
Parfum
Beaux atours
Uniforme
Carriole
Besaces (3)</v>
      </c>
      <c r="U73" s="697"/>
      <c r="AB73" s="229"/>
      <c r="AC73" s="229"/>
      <c r="AE73" s="237"/>
      <c r="AF73" s="237"/>
      <c r="AG73" s="237"/>
      <c r="AH73" s="237"/>
      <c r="AI73" s="237"/>
      <c r="AJ73" s="237"/>
      <c r="AK73" s="237"/>
      <c r="AL73" s="237"/>
      <c r="AM73" s="237"/>
      <c r="AN73" s="237"/>
      <c r="AO73" s="237"/>
      <c r="AP73" s="237"/>
      <c r="AQ73" s="237"/>
      <c r="AR73" s="237"/>
    </row>
    <row r="74" spans="1:95" s="191" customFormat="1">
      <c r="A74" s="650"/>
      <c r="B74" s="185"/>
      <c r="C74" s="185"/>
      <c r="D74" s="185"/>
      <c r="E74" s="185"/>
      <c r="F74" s="12" t="s">
        <v>97</v>
      </c>
      <c r="G74" s="228">
        <v>0</v>
      </c>
      <c r="H74" s="13">
        <f t="shared" si="31"/>
        <v>0</v>
      </c>
      <c r="I74" s="688"/>
      <c r="J74" s="12" t="str">
        <f t="shared" si="28"/>
        <v xml:space="preserve"> </v>
      </c>
      <c r="K74" s="182">
        <v>0</v>
      </c>
      <c r="L74" s="13" t="str">
        <f t="shared" si="32"/>
        <v>Gilet de cuir
Bouteille d'alcool fort</v>
      </c>
      <c r="M74" s="697"/>
      <c r="N74" s="12" t="str">
        <f t="shared" si="29"/>
        <v>Uniforme</v>
      </c>
      <c r="O74" s="188">
        <f t="shared" ca="1" si="18"/>
        <v>0</v>
      </c>
      <c r="P74" s="13" t="str">
        <f t="shared" ca="1" si="33"/>
        <v>Gilet de cuir
Bouteille d'alcool fort
Parfum
Beaux atours
Uniforme</v>
      </c>
      <c r="Q74" s="697"/>
      <c r="R74" s="12" t="str">
        <f t="shared" si="30"/>
        <v xml:space="preserve"> </v>
      </c>
      <c r="S74" s="188">
        <f t="shared" ca="1" si="19"/>
        <v>188</v>
      </c>
      <c r="T74" s="13" t="str">
        <f t="shared" ca="1" si="34"/>
        <v>Gilet de cuir
Bouteille d'alcool fort
Parfum
Beaux atours
Uniforme
Carriole
Besaces (3)</v>
      </c>
      <c r="U74" s="697"/>
      <c r="AB74" s="229"/>
      <c r="AC74" s="229"/>
      <c r="AE74" s="237"/>
      <c r="AF74" s="237"/>
      <c r="AG74" s="237"/>
      <c r="AH74" s="237"/>
      <c r="AI74" s="237"/>
      <c r="AJ74" s="237"/>
      <c r="AK74" s="237"/>
      <c r="AL74" s="237"/>
      <c r="AM74" s="237"/>
      <c r="AN74" s="237"/>
      <c r="AO74" s="237"/>
      <c r="AP74" s="237"/>
      <c r="AQ74" s="237"/>
      <c r="AR74" s="237"/>
    </row>
    <row r="75" spans="1:95" s="191" customFormat="1">
      <c r="A75" s="650"/>
      <c r="B75" s="185"/>
      <c r="C75" s="185"/>
      <c r="D75" s="185"/>
      <c r="E75" s="185"/>
      <c r="F75" s="12" t="s">
        <v>97</v>
      </c>
      <c r="G75" s="228">
        <v>0</v>
      </c>
      <c r="H75" s="13">
        <f t="shared" si="31"/>
        <v>0</v>
      </c>
      <c r="I75" s="688"/>
      <c r="J75" s="12" t="str">
        <f t="shared" si="28"/>
        <v xml:space="preserve"> </v>
      </c>
      <c r="K75" s="182">
        <v>0</v>
      </c>
      <c r="L75" s="13" t="str">
        <f t="shared" si="32"/>
        <v>Gilet de cuir
Bouteille d'alcool fort</v>
      </c>
      <c r="M75" s="697"/>
      <c r="N75" s="12" t="str">
        <f t="shared" si="29"/>
        <v xml:space="preserve"> </v>
      </c>
      <c r="O75" s="188">
        <f t="shared" ca="1" si="18"/>
        <v>129</v>
      </c>
      <c r="P75" s="13" t="str">
        <f t="shared" ca="1" si="33"/>
        <v>Gilet de cuir
Bouteille d'alcool fort
Parfum
Beaux atours
Uniforme</v>
      </c>
      <c r="Q75" s="697"/>
      <c r="R75" s="12" t="str">
        <f t="shared" si="30"/>
        <v xml:space="preserve"> </v>
      </c>
      <c r="S75" s="188">
        <f t="shared" ca="1" si="19"/>
        <v>188</v>
      </c>
      <c r="T75" s="13" t="str">
        <f t="shared" ca="1" si="34"/>
        <v>Gilet de cuir
Bouteille d'alcool fort
Parfum
Beaux atours
Uniforme
Carriole
Besaces (3)</v>
      </c>
      <c r="U75" s="697"/>
      <c r="AB75" s="229"/>
      <c r="AC75" s="229"/>
      <c r="AE75" s="237"/>
      <c r="AF75" s="237"/>
      <c r="AG75" s="237"/>
      <c r="AH75" s="237"/>
      <c r="AI75" s="237"/>
      <c r="AJ75" s="237"/>
      <c r="AK75" s="237"/>
      <c r="AL75" s="237"/>
      <c r="AM75" s="237"/>
      <c r="AN75" s="237"/>
      <c r="AO75" s="237"/>
      <c r="AP75" s="237"/>
      <c r="AQ75" s="237"/>
      <c r="AR75" s="237"/>
    </row>
    <row r="76" spans="1:95" s="191" customFormat="1">
      <c r="A76" s="650"/>
      <c r="B76" s="185"/>
      <c r="C76" s="185"/>
      <c r="D76" s="185"/>
      <c r="E76" s="185"/>
      <c r="F76" s="12" t="s">
        <v>97</v>
      </c>
      <c r="G76" s="228">
        <v>0</v>
      </c>
      <c r="H76" s="13">
        <f t="shared" si="31"/>
        <v>0</v>
      </c>
      <c r="I76" s="688"/>
      <c r="J76" s="12" t="str">
        <f t="shared" si="28"/>
        <v xml:space="preserve"> </v>
      </c>
      <c r="K76" s="182">
        <v>0</v>
      </c>
      <c r="L76" s="13" t="str">
        <f t="shared" si="32"/>
        <v>Gilet de cuir
Bouteille d'alcool fort</v>
      </c>
      <c r="M76" s="697"/>
      <c r="N76" s="12" t="str">
        <f t="shared" si="29"/>
        <v xml:space="preserve"> </v>
      </c>
      <c r="O76" s="188">
        <f t="shared" ca="1" si="18"/>
        <v>129</v>
      </c>
      <c r="P76" s="13" t="str">
        <f t="shared" ca="1" si="33"/>
        <v>Gilet de cuir
Bouteille d'alcool fort
Parfum
Beaux atours
Uniforme</v>
      </c>
      <c r="Q76" s="697"/>
      <c r="R76" s="12" t="str">
        <f t="shared" si="30"/>
        <v xml:space="preserve"> </v>
      </c>
      <c r="S76" s="188">
        <f t="shared" ca="1" si="19"/>
        <v>188</v>
      </c>
      <c r="T76" s="13" t="str">
        <f t="shared" ca="1" si="34"/>
        <v>Gilet de cuir
Bouteille d'alcool fort
Parfum
Beaux atours
Uniforme
Carriole
Besaces (3)</v>
      </c>
      <c r="U76" s="697"/>
      <c r="AB76" s="229"/>
      <c r="AC76" s="229"/>
      <c r="AE76" s="237"/>
      <c r="AF76" s="237"/>
      <c r="AG76" s="237"/>
      <c r="AH76" s="237"/>
      <c r="AI76" s="237"/>
      <c r="AJ76" s="237"/>
      <c r="AK76" s="237"/>
      <c r="AL76" s="237"/>
      <c r="AM76" s="237"/>
      <c r="AN76" s="237"/>
      <c r="AO76" s="237"/>
      <c r="AP76" s="237"/>
      <c r="AQ76" s="237"/>
      <c r="AR76" s="237"/>
    </row>
    <row r="77" spans="1:95" s="191" customFormat="1">
      <c r="A77" s="650"/>
      <c r="B77" s="185"/>
      <c r="C77" s="185"/>
      <c r="D77" s="185"/>
      <c r="E77" s="185"/>
      <c r="F77" s="12" t="s">
        <v>97</v>
      </c>
      <c r="G77" s="228">
        <v>0</v>
      </c>
      <c r="H77" s="13">
        <f t="shared" si="31"/>
        <v>0</v>
      </c>
      <c r="I77" s="688"/>
      <c r="J77" s="12" t="str">
        <f t="shared" si="28"/>
        <v xml:space="preserve"> </v>
      </c>
      <c r="K77" s="182">
        <v>0</v>
      </c>
      <c r="L77" s="13" t="str">
        <f t="shared" si="32"/>
        <v>Gilet de cuir
Bouteille d'alcool fort</v>
      </c>
      <c r="M77" s="697"/>
      <c r="N77" s="12" t="str">
        <f t="shared" si="29"/>
        <v xml:space="preserve"> </v>
      </c>
      <c r="O77" s="188">
        <f t="shared" ca="1" si="18"/>
        <v>129</v>
      </c>
      <c r="P77" s="13" t="str">
        <f t="shared" ca="1" si="33"/>
        <v>Gilet de cuir
Bouteille d'alcool fort
Parfum
Beaux atours
Uniforme</v>
      </c>
      <c r="Q77" s="697"/>
      <c r="R77" s="12" t="str">
        <f t="shared" si="30"/>
        <v xml:space="preserve"> </v>
      </c>
      <c r="S77" s="188">
        <f t="shared" ca="1" si="19"/>
        <v>188</v>
      </c>
      <c r="T77" s="13" t="str">
        <f t="shared" ca="1" si="34"/>
        <v>Gilet de cuir
Bouteille d'alcool fort
Parfum
Beaux atours
Uniforme
Carriole
Besaces (3)</v>
      </c>
      <c r="U77" s="697"/>
      <c r="AB77" s="229"/>
      <c r="AC77" s="229"/>
      <c r="AE77" s="237"/>
      <c r="AF77" s="237"/>
      <c r="AG77" s="237"/>
      <c r="AH77" s="237"/>
      <c r="AI77" s="237"/>
      <c r="AJ77" s="237"/>
      <c r="AK77" s="237"/>
      <c r="AL77" s="237"/>
      <c r="AM77" s="237"/>
      <c r="AN77" s="237"/>
      <c r="AO77" s="237"/>
      <c r="AP77" s="237"/>
      <c r="AQ77" s="237"/>
      <c r="AR77" s="237"/>
    </row>
    <row r="78" spans="1:95" s="191" customFormat="1">
      <c r="A78" s="650"/>
      <c r="B78" s="185"/>
      <c r="C78" s="185"/>
      <c r="D78" s="185"/>
      <c r="E78" s="185"/>
      <c r="F78" s="12" t="s">
        <v>97</v>
      </c>
      <c r="G78" s="228">
        <v>0</v>
      </c>
      <c r="H78" s="13">
        <f t="shared" si="31"/>
        <v>0</v>
      </c>
      <c r="I78" s="688"/>
      <c r="J78" s="12" t="str">
        <f t="shared" si="28"/>
        <v xml:space="preserve"> </v>
      </c>
      <c r="K78" s="182">
        <v>0</v>
      </c>
      <c r="L78" s="13" t="str">
        <f t="shared" si="32"/>
        <v>Gilet de cuir
Bouteille d'alcool fort</v>
      </c>
      <c r="M78" s="697"/>
      <c r="N78" s="12" t="str">
        <f t="shared" si="29"/>
        <v xml:space="preserve"> </v>
      </c>
      <c r="O78" s="188">
        <f t="shared" ref="O78:O91" ca="1" si="35">COUNTIF($F$14:$J$91,N78)</f>
        <v>129</v>
      </c>
      <c r="P78" s="13" t="str">
        <f t="shared" ca="1" si="33"/>
        <v>Gilet de cuir
Bouteille d'alcool fort
Parfum
Beaux atours
Uniforme</v>
      </c>
      <c r="Q78" s="697"/>
      <c r="R78" s="12" t="str">
        <f t="shared" si="30"/>
        <v xml:space="preserve"> </v>
      </c>
      <c r="S78" s="188">
        <f t="shared" ref="S78:S91" ca="1" si="36">COUNTIF($F$14:$N$91,R78)</f>
        <v>188</v>
      </c>
      <c r="T78" s="13" t="str">
        <f t="shared" ca="1" si="34"/>
        <v>Gilet de cuir
Bouteille d'alcool fort
Parfum
Beaux atours
Uniforme
Carriole
Besaces (3)</v>
      </c>
      <c r="U78" s="697"/>
      <c r="AB78" s="229"/>
      <c r="AC78" s="229"/>
      <c r="AE78" s="237"/>
      <c r="AF78" s="237"/>
      <c r="AG78" s="237"/>
      <c r="AH78" s="237"/>
      <c r="AI78" s="237"/>
      <c r="AJ78" s="237"/>
      <c r="AK78" s="237"/>
      <c r="AL78" s="237"/>
      <c r="AM78" s="237"/>
      <c r="AN78" s="237"/>
      <c r="AO78" s="237"/>
      <c r="AP78" s="237"/>
      <c r="AQ78" s="237"/>
      <c r="AR78" s="237"/>
    </row>
    <row r="79" spans="1:95" s="191" customFormat="1">
      <c r="A79" s="650"/>
      <c r="B79" s="185"/>
      <c r="C79" s="185"/>
      <c r="D79" s="185"/>
      <c r="E79" s="185"/>
      <c r="F79" s="12" t="s">
        <v>97</v>
      </c>
      <c r="G79" s="228">
        <v>0</v>
      </c>
      <c r="H79" s="13">
        <f t="shared" si="31"/>
        <v>0</v>
      </c>
      <c r="I79" s="688"/>
      <c r="J79" s="12" t="str">
        <f t="shared" si="28"/>
        <v xml:space="preserve"> </v>
      </c>
      <c r="K79" s="182">
        <v>0</v>
      </c>
      <c r="L79" s="13" t="str">
        <f t="shared" si="32"/>
        <v>Gilet de cuir
Bouteille d'alcool fort</v>
      </c>
      <c r="M79" s="697"/>
      <c r="N79" s="12" t="str">
        <f t="shared" si="29"/>
        <v xml:space="preserve"> </v>
      </c>
      <c r="O79" s="188">
        <f t="shared" ca="1" si="35"/>
        <v>129</v>
      </c>
      <c r="P79" s="13" t="str">
        <f t="shared" ca="1" si="33"/>
        <v>Gilet de cuir
Bouteille d'alcool fort
Parfum
Beaux atours
Uniforme</v>
      </c>
      <c r="Q79" s="697"/>
      <c r="R79" s="12" t="str">
        <f t="shared" si="30"/>
        <v xml:space="preserve"> </v>
      </c>
      <c r="S79" s="188">
        <f t="shared" ca="1" si="36"/>
        <v>188</v>
      </c>
      <c r="T79" s="13" t="str">
        <f t="shared" ca="1" si="34"/>
        <v>Gilet de cuir
Bouteille d'alcool fort
Parfum
Beaux atours
Uniforme
Carriole
Besaces (3)</v>
      </c>
      <c r="U79" s="697"/>
      <c r="AB79" s="229"/>
      <c r="AC79" s="229"/>
      <c r="AE79" s="237"/>
      <c r="AF79" s="237"/>
      <c r="AG79" s="237"/>
      <c r="AH79" s="237"/>
      <c r="AI79" s="237"/>
      <c r="AJ79" s="237"/>
      <c r="AK79" s="237"/>
      <c r="AL79" s="237"/>
      <c r="AM79" s="237"/>
      <c r="AN79" s="237"/>
      <c r="AO79" s="237"/>
      <c r="AP79" s="237"/>
      <c r="AQ79" s="237"/>
      <c r="AR79" s="237"/>
    </row>
    <row r="80" spans="1:95" s="191" customFormat="1">
      <c r="A80" s="650"/>
      <c r="B80" s="185"/>
      <c r="C80" s="185"/>
      <c r="D80" s="185"/>
      <c r="E80" s="185"/>
      <c r="F80" s="12" t="s">
        <v>97</v>
      </c>
      <c r="G80" s="228">
        <v>0</v>
      </c>
      <c r="H80" s="13">
        <f t="shared" si="31"/>
        <v>0</v>
      </c>
      <c r="I80" s="688"/>
      <c r="J80" s="12" t="str">
        <f t="shared" si="28"/>
        <v xml:space="preserve"> </v>
      </c>
      <c r="K80" s="182">
        <v>0</v>
      </c>
      <c r="L80" s="13" t="str">
        <f t="shared" si="32"/>
        <v>Gilet de cuir
Bouteille d'alcool fort</v>
      </c>
      <c r="M80" s="697"/>
      <c r="N80" s="12" t="str">
        <f t="shared" si="29"/>
        <v xml:space="preserve"> </v>
      </c>
      <c r="O80" s="188">
        <f t="shared" ca="1" si="35"/>
        <v>129</v>
      </c>
      <c r="P80" s="13" t="str">
        <f t="shared" ca="1" si="33"/>
        <v>Gilet de cuir
Bouteille d'alcool fort
Parfum
Beaux atours
Uniforme</v>
      </c>
      <c r="Q80" s="697"/>
      <c r="R80" s="12" t="str">
        <f t="shared" si="30"/>
        <v xml:space="preserve"> </v>
      </c>
      <c r="S80" s="188">
        <f t="shared" ca="1" si="36"/>
        <v>188</v>
      </c>
      <c r="T80" s="13" t="str">
        <f t="shared" ca="1" si="34"/>
        <v>Gilet de cuir
Bouteille d'alcool fort
Parfum
Beaux atours
Uniforme
Carriole
Besaces (3)</v>
      </c>
      <c r="U80" s="697"/>
      <c r="AB80" s="229"/>
      <c r="AC80" s="229"/>
      <c r="AE80" s="237"/>
      <c r="AF80" s="237"/>
      <c r="AG80" s="237"/>
      <c r="AH80" s="237"/>
      <c r="AI80" s="237"/>
      <c r="AJ80" s="237"/>
      <c r="AK80" s="237"/>
      <c r="AL80" s="237"/>
      <c r="AM80" s="237"/>
      <c r="AN80" s="237"/>
      <c r="AO80" s="237"/>
      <c r="AP80" s="237"/>
      <c r="AQ80" s="237"/>
      <c r="AR80" s="237"/>
    </row>
    <row r="81" spans="1:44" s="191" customFormat="1">
      <c r="A81" s="650"/>
      <c r="B81" s="185"/>
      <c r="C81" s="185"/>
      <c r="D81" s="185"/>
      <c r="E81" s="185"/>
      <c r="F81" s="12" t="s">
        <v>97</v>
      </c>
      <c r="G81" s="228">
        <v>0</v>
      </c>
      <c r="H81" s="13">
        <f t="shared" si="31"/>
        <v>0</v>
      </c>
      <c r="I81" s="688"/>
      <c r="J81" s="12" t="str">
        <f t="shared" si="28"/>
        <v xml:space="preserve"> </v>
      </c>
      <c r="K81" s="182">
        <v>0</v>
      </c>
      <c r="L81" s="13" t="str">
        <f t="shared" si="32"/>
        <v>Gilet de cuir
Bouteille d'alcool fort</v>
      </c>
      <c r="M81" s="697"/>
      <c r="N81" s="12" t="str">
        <f t="shared" si="29"/>
        <v xml:space="preserve"> </v>
      </c>
      <c r="O81" s="188">
        <f t="shared" ca="1" si="35"/>
        <v>129</v>
      </c>
      <c r="P81" s="13" t="str">
        <f t="shared" ca="1" si="33"/>
        <v>Gilet de cuir
Bouteille d'alcool fort
Parfum
Beaux atours
Uniforme</v>
      </c>
      <c r="Q81" s="697"/>
      <c r="R81" s="12" t="str">
        <f t="shared" si="30"/>
        <v xml:space="preserve"> </v>
      </c>
      <c r="S81" s="188">
        <f t="shared" ca="1" si="36"/>
        <v>188</v>
      </c>
      <c r="T81" s="13" t="str">
        <f t="shared" ca="1" si="34"/>
        <v>Gilet de cuir
Bouteille d'alcool fort
Parfum
Beaux atours
Uniforme
Carriole
Besaces (3)</v>
      </c>
      <c r="U81" s="697"/>
      <c r="AB81" s="229"/>
      <c r="AC81" s="229"/>
      <c r="AE81" s="237"/>
      <c r="AF81" s="237"/>
      <c r="AG81" s="237"/>
      <c r="AH81" s="237"/>
      <c r="AI81" s="237"/>
      <c r="AJ81" s="237"/>
      <c r="AK81" s="237"/>
      <c r="AL81" s="237"/>
      <c r="AM81" s="237"/>
      <c r="AN81" s="237"/>
      <c r="AO81" s="237"/>
      <c r="AP81" s="237"/>
      <c r="AQ81" s="237"/>
      <c r="AR81" s="237"/>
    </row>
    <row r="82" spans="1:44" s="191" customFormat="1">
      <c r="A82" s="650"/>
      <c r="B82" s="185"/>
      <c r="C82" s="185"/>
      <c r="D82" s="185"/>
      <c r="E82" s="185"/>
      <c r="F82" s="12" t="s">
        <v>97</v>
      </c>
      <c r="G82" s="228">
        <v>0</v>
      </c>
      <c r="H82" s="13">
        <f t="shared" si="31"/>
        <v>0</v>
      </c>
      <c r="I82" s="688"/>
      <c r="J82" s="12" t="str">
        <f t="shared" si="28"/>
        <v xml:space="preserve"> </v>
      </c>
      <c r="K82" s="182">
        <v>0</v>
      </c>
      <c r="L82" s="13" t="str">
        <f t="shared" si="32"/>
        <v>Gilet de cuir
Bouteille d'alcool fort</v>
      </c>
      <c r="M82" s="697"/>
      <c r="N82" s="12" t="str">
        <f t="shared" si="29"/>
        <v xml:space="preserve"> </v>
      </c>
      <c r="O82" s="188">
        <f t="shared" ca="1" si="35"/>
        <v>129</v>
      </c>
      <c r="P82" s="13" t="str">
        <f t="shared" ca="1" si="33"/>
        <v>Gilet de cuir
Bouteille d'alcool fort
Parfum
Beaux atours
Uniforme</v>
      </c>
      <c r="Q82" s="697"/>
      <c r="R82" s="12" t="str">
        <f t="shared" si="30"/>
        <v xml:space="preserve"> </v>
      </c>
      <c r="S82" s="188">
        <f t="shared" ca="1" si="36"/>
        <v>188</v>
      </c>
      <c r="T82" s="13" t="str">
        <f t="shared" ca="1" si="34"/>
        <v>Gilet de cuir
Bouteille d'alcool fort
Parfum
Beaux atours
Uniforme
Carriole
Besaces (3)</v>
      </c>
      <c r="U82" s="697"/>
      <c r="AB82" s="229"/>
      <c r="AC82" s="229"/>
      <c r="AE82" s="237"/>
      <c r="AF82" s="237"/>
      <c r="AG82" s="237"/>
      <c r="AH82" s="237"/>
      <c r="AI82" s="237"/>
      <c r="AJ82" s="237"/>
      <c r="AK82" s="237"/>
      <c r="AL82" s="237"/>
      <c r="AM82" s="237"/>
      <c r="AN82" s="237"/>
      <c r="AO82" s="237"/>
      <c r="AP82" s="237"/>
      <c r="AQ82" s="237"/>
      <c r="AR82" s="237"/>
    </row>
    <row r="83" spans="1:44" s="191" customFormat="1">
      <c r="A83" s="650"/>
      <c r="B83" s="185"/>
      <c r="C83" s="185"/>
      <c r="D83" s="185"/>
      <c r="E83" s="185"/>
      <c r="F83" s="12" t="s">
        <v>97</v>
      </c>
      <c r="G83" s="228">
        <v>0</v>
      </c>
      <c r="H83" s="13">
        <f t="shared" si="31"/>
        <v>0</v>
      </c>
      <c r="I83" s="688"/>
      <c r="J83" s="12" t="str">
        <f t="shared" si="28"/>
        <v xml:space="preserve"> </v>
      </c>
      <c r="K83" s="182">
        <v>0</v>
      </c>
      <c r="L83" s="13" t="str">
        <f t="shared" si="32"/>
        <v>Gilet de cuir
Bouteille d'alcool fort</v>
      </c>
      <c r="M83" s="697"/>
      <c r="N83" s="12" t="str">
        <f t="shared" si="29"/>
        <v xml:space="preserve"> </v>
      </c>
      <c r="O83" s="188">
        <f t="shared" ca="1" si="35"/>
        <v>129</v>
      </c>
      <c r="P83" s="13" t="str">
        <f t="shared" ca="1" si="33"/>
        <v>Gilet de cuir
Bouteille d'alcool fort
Parfum
Beaux atours
Uniforme</v>
      </c>
      <c r="Q83" s="697"/>
      <c r="R83" s="12" t="str">
        <f t="shared" si="30"/>
        <v xml:space="preserve"> </v>
      </c>
      <c r="S83" s="188">
        <f t="shared" ca="1" si="36"/>
        <v>188</v>
      </c>
      <c r="T83" s="13" t="str">
        <f t="shared" ca="1" si="34"/>
        <v>Gilet de cuir
Bouteille d'alcool fort
Parfum
Beaux atours
Uniforme
Carriole
Besaces (3)</v>
      </c>
      <c r="U83" s="697"/>
      <c r="AB83" s="229"/>
      <c r="AC83" s="229"/>
      <c r="AE83" s="237"/>
      <c r="AF83" s="237"/>
      <c r="AG83" s="237"/>
      <c r="AH83" s="237"/>
      <c r="AI83" s="237"/>
      <c r="AJ83" s="237"/>
      <c r="AK83" s="237"/>
      <c r="AL83" s="237"/>
      <c r="AM83" s="237"/>
      <c r="AN83" s="237"/>
      <c r="AO83" s="237"/>
      <c r="AP83" s="237"/>
      <c r="AQ83" s="237"/>
      <c r="AR83" s="237"/>
    </row>
    <row r="84" spans="1:44" s="191" customFormat="1">
      <c r="A84" s="650"/>
      <c r="B84" s="185"/>
      <c r="C84" s="185"/>
      <c r="D84" s="185"/>
      <c r="E84" s="185"/>
      <c r="F84" s="12" t="s">
        <v>97</v>
      </c>
      <c r="G84" s="228">
        <v>0</v>
      </c>
      <c r="H84" s="13">
        <f t="shared" si="31"/>
        <v>0</v>
      </c>
      <c r="I84" s="688"/>
      <c r="J84" s="12" t="str">
        <f t="shared" si="28"/>
        <v xml:space="preserve"> </v>
      </c>
      <c r="K84" s="182">
        <v>0</v>
      </c>
      <c r="L84" s="13" t="str">
        <f t="shared" si="32"/>
        <v>Gilet de cuir
Bouteille d'alcool fort</v>
      </c>
      <c r="M84" s="697"/>
      <c r="N84" s="12" t="str">
        <f t="shared" si="29"/>
        <v xml:space="preserve"> </v>
      </c>
      <c r="O84" s="188">
        <f t="shared" ca="1" si="35"/>
        <v>129</v>
      </c>
      <c r="P84" s="13" t="str">
        <f t="shared" ca="1" si="33"/>
        <v>Gilet de cuir
Bouteille d'alcool fort
Parfum
Beaux atours
Uniforme</v>
      </c>
      <c r="Q84" s="697"/>
      <c r="R84" s="12" t="str">
        <f t="shared" si="30"/>
        <v xml:space="preserve"> </v>
      </c>
      <c r="S84" s="188">
        <f t="shared" ca="1" si="36"/>
        <v>188</v>
      </c>
      <c r="T84" s="13" t="str">
        <f t="shared" ca="1" si="34"/>
        <v>Gilet de cuir
Bouteille d'alcool fort
Parfum
Beaux atours
Uniforme
Carriole
Besaces (3)</v>
      </c>
      <c r="U84" s="697"/>
      <c r="AB84" s="229"/>
      <c r="AC84" s="229"/>
      <c r="AE84" s="237"/>
      <c r="AF84" s="237"/>
      <c r="AG84" s="237"/>
      <c r="AH84" s="237"/>
      <c r="AI84" s="237"/>
      <c r="AJ84" s="237"/>
      <c r="AK84" s="237"/>
      <c r="AL84" s="237"/>
      <c r="AM84" s="237"/>
      <c r="AN84" s="237"/>
      <c r="AO84" s="237"/>
      <c r="AP84" s="237"/>
      <c r="AQ84" s="237"/>
      <c r="AR84" s="237"/>
    </row>
    <row r="85" spans="1:44" s="191" customFormat="1">
      <c r="A85" s="650"/>
      <c r="B85" s="185"/>
      <c r="C85" s="185"/>
      <c r="D85" s="185"/>
      <c r="E85" s="185"/>
      <c r="F85" s="12" t="s">
        <v>97</v>
      </c>
      <c r="G85" s="228">
        <v>0</v>
      </c>
      <c r="H85" s="13">
        <f t="shared" si="31"/>
        <v>0</v>
      </c>
      <c r="I85" s="688"/>
      <c r="J85" s="12" t="str">
        <f t="shared" si="28"/>
        <v xml:space="preserve"> </v>
      </c>
      <c r="K85" s="182">
        <v>0</v>
      </c>
      <c r="L85" s="13" t="str">
        <f t="shared" si="32"/>
        <v>Gilet de cuir
Bouteille d'alcool fort</v>
      </c>
      <c r="M85" s="697"/>
      <c r="N85" s="12" t="str">
        <f t="shared" si="29"/>
        <v xml:space="preserve"> </v>
      </c>
      <c r="O85" s="188">
        <f t="shared" ca="1" si="35"/>
        <v>129</v>
      </c>
      <c r="P85" s="13" t="str">
        <f t="shared" ca="1" si="33"/>
        <v>Gilet de cuir
Bouteille d'alcool fort
Parfum
Beaux atours
Uniforme</v>
      </c>
      <c r="Q85" s="697"/>
      <c r="R85" s="12" t="str">
        <f t="shared" si="30"/>
        <v xml:space="preserve"> </v>
      </c>
      <c r="S85" s="188">
        <f t="shared" ca="1" si="36"/>
        <v>188</v>
      </c>
      <c r="T85" s="13" t="str">
        <f t="shared" ca="1" si="34"/>
        <v>Gilet de cuir
Bouteille d'alcool fort
Parfum
Beaux atours
Uniforme
Carriole
Besaces (3)</v>
      </c>
      <c r="U85" s="697"/>
      <c r="AB85" s="229"/>
      <c r="AC85" s="229"/>
      <c r="AE85" s="237"/>
      <c r="AF85" s="237"/>
      <c r="AG85" s="237"/>
      <c r="AH85" s="237"/>
      <c r="AI85" s="237"/>
      <c r="AJ85" s="237"/>
      <c r="AK85" s="237"/>
      <c r="AL85" s="237"/>
      <c r="AM85" s="237"/>
      <c r="AN85" s="237"/>
      <c r="AO85" s="237"/>
      <c r="AP85" s="237"/>
      <c r="AQ85" s="237"/>
      <c r="AR85" s="237"/>
    </row>
    <row r="86" spans="1:44" s="191" customFormat="1">
      <c r="A86" s="650"/>
      <c r="B86" s="185"/>
      <c r="C86" s="185"/>
      <c r="D86" s="185"/>
      <c r="E86" s="185"/>
      <c r="F86" s="12" t="s">
        <v>97</v>
      </c>
      <c r="G86" s="228">
        <v>0</v>
      </c>
      <c r="H86" s="13">
        <f t="shared" si="31"/>
        <v>0</v>
      </c>
      <c r="I86" s="688"/>
      <c r="J86" s="12" t="str">
        <f t="shared" si="28"/>
        <v xml:space="preserve"> </v>
      </c>
      <c r="K86" s="182">
        <v>0</v>
      </c>
      <c r="L86" s="13" t="str">
        <f t="shared" si="32"/>
        <v>Gilet de cuir
Bouteille d'alcool fort</v>
      </c>
      <c r="M86" s="697"/>
      <c r="N86" s="12" t="str">
        <f t="shared" si="29"/>
        <v xml:space="preserve"> </v>
      </c>
      <c r="O86" s="188">
        <f t="shared" ca="1" si="35"/>
        <v>129</v>
      </c>
      <c r="P86" s="13" t="str">
        <f t="shared" ca="1" si="33"/>
        <v>Gilet de cuir
Bouteille d'alcool fort
Parfum
Beaux atours
Uniforme</v>
      </c>
      <c r="Q86" s="697"/>
      <c r="R86" s="12" t="str">
        <f t="shared" si="30"/>
        <v xml:space="preserve"> </v>
      </c>
      <c r="S86" s="188">
        <f t="shared" ca="1" si="36"/>
        <v>188</v>
      </c>
      <c r="T86" s="13" t="str">
        <f t="shared" ca="1" si="34"/>
        <v>Gilet de cuir
Bouteille d'alcool fort
Parfum
Beaux atours
Uniforme
Carriole
Besaces (3)</v>
      </c>
      <c r="U86" s="697"/>
      <c r="AB86" s="229"/>
      <c r="AC86" s="229"/>
      <c r="AE86" s="237"/>
      <c r="AF86" s="237"/>
      <c r="AG86" s="237"/>
      <c r="AH86" s="237"/>
      <c r="AI86" s="237"/>
      <c r="AJ86" s="237"/>
      <c r="AK86" s="237"/>
      <c r="AL86" s="237"/>
      <c r="AM86" s="237"/>
      <c r="AN86" s="237"/>
      <c r="AO86" s="237"/>
      <c r="AP86" s="237"/>
      <c r="AQ86" s="237"/>
      <c r="AR86" s="237"/>
    </row>
    <row r="87" spans="1:44" s="191" customFormat="1">
      <c r="A87" s="650"/>
      <c r="B87" s="185"/>
      <c r="C87" s="185"/>
      <c r="D87" s="185"/>
      <c r="E87" s="185"/>
      <c r="F87" s="12" t="s">
        <v>97</v>
      </c>
      <c r="G87" s="228">
        <v>0</v>
      </c>
      <c r="H87" s="13">
        <f t="shared" si="31"/>
        <v>0</v>
      </c>
      <c r="I87" s="688"/>
      <c r="J87" s="12" t="str">
        <f t="shared" si="28"/>
        <v xml:space="preserve"> </v>
      </c>
      <c r="K87" s="182">
        <v>0</v>
      </c>
      <c r="L87" s="13" t="str">
        <f t="shared" si="32"/>
        <v>Gilet de cuir
Bouteille d'alcool fort</v>
      </c>
      <c r="M87" s="697"/>
      <c r="N87" s="12" t="str">
        <f t="shared" si="29"/>
        <v xml:space="preserve"> </v>
      </c>
      <c r="O87" s="188">
        <f t="shared" ca="1" si="35"/>
        <v>129</v>
      </c>
      <c r="P87" s="13" t="str">
        <f t="shared" ca="1" si="33"/>
        <v>Gilet de cuir
Bouteille d'alcool fort
Parfum
Beaux atours
Uniforme</v>
      </c>
      <c r="Q87" s="697"/>
      <c r="R87" s="12" t="str">
        <f t="shared" si="30"/>
        <v xml:space="preserve"> </v>
      </c>
      <c r="S87" s="188">
        <f t="shared" ca="1" si="36"/>
        <v>188</v>
      </c>
      <c r="T87" s="13" t="str">
        <f t="shared" ca="1" si="34"/>
        <v>Gilet de cuir
Bouteille d'alcool fort
Parfum
Beaux atours
Uniforme
Carriole
Besaces (3)</v>
      </c>
      <c r="U87" s="697"/>
      <c r="AB87" s="229"/>
      <c r="AC87" s="229"/>
      <c r="AE87" s="237"/>
      <c r="AF87" s="237"/>
      <c r="AG87" s="237"/>
      <c r="AH87" s="237"/>
      <c r="AI87" s="237"/>
      <c r="AJ87" s="237"/>
      <c r="AK87" s="237"/>
      <c r="AL87" s="237"/>
      <c r="AM87" s="237"/>
      <c r="AN87" s="237"/>
      <c r="AO87" s="237"/>
      <c r="AP87" s="237"/>
      <c r="AQ87" s="237"/>
      <c r="AR87" s="237"/>
    </row>
    <row r="88" spans="1:44" s="191" customFormat="1">
      <c r="A88" s="650"/>
      <c r="B88" s="185"/>
      <c r="C88" s="185"/>
      <c r="D88" s="185"/>
      <c r="E88" s="185"/>
      <c r="F88" s="12" t="s">
        <v>97</v>
      </c>
      <c r="G88" s="228">
        <v>0</v>
      </c>
      <c r="H88" s="13">
        <f t="shared" si="31"/>
        <v>0</v>
      </c>
      <c r="I88" s="688"/>
      <c r="J88" s="12" t="str">
        <f t="shared" si="28"/>
        <v xml:space="preserve"> </v>
      </c>
      <c r="K88" s="182">
        <v>0</v>
      </c>
      <c r="L88" s="13" t="str">
        <f t="shared" si="32"/>
        <v>Gilet de cuir
Bouteille d'alcool fort</v>
      </c>
      <c r="M88" s="697"/>
      <c r="N88" s="12" t="str">
        <f t="shared" si="29"/>
        <v xml:space="preserve"> </v>
      </c>
      <c r="O88" s="188">
        <f t="shared" ca="1" si="35"/>
        <v>129</v>
      </c>
      <c r="P88" s="13" t="str">
        <f t="shared" ca="1" si="33"/>
        <v>Gilet de cuir
Bouteille d'alcool fort
Parfum
Beaux atours
Uniforme</v>
      </c>
      <c r="Q88" s="697"/>
      <c r="R88" s="12" t="str">
        <f t="shared" si="30"/>
        <v xml:space="preserve"> </v>
      </c>
      <c r="S88" s="188">
        <f t="shared" ca="1" si="36"/>
        <v>188</v>
      </c>
      <c r="T88" s="13" t="str">
        <f t="shared" ca="1" si="34"/>
        <v>Gilet de cuir
Bouteille d'alcool fort
Parfum
Beaux atours
Uniforme
Carriole
Besaces (3)</v>
      </c>
      <c r="U88" s="697"/>
      <c r="AB88" s="229"/>
      <c r="AC88" s="229"/>
      <c r="AE88" s="237"/>
      <c r="AF88" s="237"/>
      <c r="AG88" s="237"/>
      <c r="AH88" s="237"/>
      <c r="AI88" s="237"/>
      <c r="AJ88" s="237"/>
      <c r="AK88" s="237"/>
      <c r="AL88" s="237"/>
      <c r="AM88" s="237"/>
      <c r="AN88" s="237"/>
      <c r="AO88" s="237"/>
      <c r="AP88" s="237"/>
      <c r="AQ88" s="237"/>
      <c r="AR88" s="237"/>
    </row>
    <row r="89" spans="1:44" s="191" customFormat="1">
      <c r="A89" s="650"/>
      <c r="B89" s="185"/>
      <c r="C89" s="185"/>
      <c r="D89" s="185"/>
      <c r="E89" s="185"/>
      <c r="F89" s="12" t="s">
        <v>97</v>
      </c>
      <c r="G89" s="228">
        <v>0</v>
      </c>
      <c r="H89" s="13">
        <f t="shared" si="31"/>
        <v>0</v>
      </c>
      <c r="I89" s="688"/>
      <c r="J89" s="12" t="str">
        <f t="shared" si="28"/>
        <v xml:space="preserve"> </v>
      </c>
      <c r="K89" s="182">
        <v>0</v>
      </c>
      <c r="L89" s="13" t="str">
        <f t="shared" si="32"/>
        <v>Gilet de cuir
Bouteille d'alcool fort</v>
      </c>
      <c r="M89" s="697"/>
      <c r="N89" s="12" t="str">
        <f t="shared" si="29"/>
        <v xml:space="preserve"> </v>
      </c>
      <c r="O89" s="188">
        <f t="shared" ca="1" si="35"/>
        <v>129</v>
      </c>
      <c r="P89" s="13" t="str">
        <f t="shared" ca="1" si="33"/>
        <v>Gilet de cuir
Bouteille d'alcool fort
Parfum
Beaux atours
Uniforme</v>
      </c>
      <c r="Q89" s="697"/>
      <c r="R89" s="12" t="str">
        <f t="shared" si="30"/>
        <v xml:space="preserve"> </v>
      </c>
      <c r="S89" s="188">
        <f t="shared" ca="1" si="36"/>
        <v>188</v>
      </c>
      <c r="T89" s="13" t="str">
        <f t="shared" ca="1" si="34"/>
        <v>Gilet de cuir
Bouteille d'alcool fort
Parfum
Beaux atours
Uniforme
Carriole
Besaces (3)</v>
      </c>
      <c r="U89" s="697"/>
      <c r="AB89" s="229"/>
      <c r="AC89" s="229"/>
      <c r="AE89" s="237"/>
      <c r="AF89" s="237"/>
      <c r="AG89" s="237"/>
      <c r="AH89" s="237"/>
      <c r="AI89" s="237"/>
      <c r="AJ89" s="237"/>
      <c r="AK89" s="237"/>
      <c r="AL89" s="237"/>
      <c r="AM89" s="237"/>
      <c r="AN89" s="237"/>
      <c r="AO89" s="237"/>
      <c r="AP89" s="237"/>
      <c r="AQ89" s="237"/>
      <c r="AR89" s="237"/>
    </row>
    <row r="90" spans="1:44" s="191" customFormat="1" ht="15.75" thickBot="1">
      <c r="A90" s="650"/>
      <c r="B90" s="185"/>
      <c r="C90" s="185"/>
      <c r="D90" s="185"/>
      <c r="E90" s="185"/>
      <c r="F90" s="12" t="s">
        <v>97</v>
      </c>
      <c r="G90" s="228">
        <v>0</v>
      </c>
      <c r="H90" s="13">
        <f t="shared" si="31"/>
        <v>0</v>
      </c>
      <c r="I90" s="688"/>
      <c r="J90" s="12" t="str">
        <f t="shared" si="28"/>
        <v xml:space="preserve"> </v>
      </c>
      <c r="K90" s="182">
        <v>0</v>
      </c>
      <c r="L90" s="13" t="str">
        <f t="shared" si="32"/>
        <v>Gilet de cuir
Bouteille d'alcool fort</v>
      </c>
      <c r="M90" s="697"/>
      <c r="N90" s="12" t="str">
        <f t="shared" si="29"/>
        <v xml:space="preserve"> </v>
      </c>
      <c r="O90" s="188">
        <f t="shared" ca="1" si="35"/>
        <v>129</v>
      </c>
      <c r="P90" s="13" t="str">
        <f t="shared" ca="1" si="33"/>
        <v>Gilet de cuir
Bouteille d'alcool fort
Parfum
Beaux atours
Uniforme</v>
      </c>
      <c r="Q90" s="697"/>
      <c r="R90" s="12" t="str">
        <f t="shared" si="30"/>
        <v xml:space="preserve"> </v>
      </c>
      <c r="S90" s="188">
        <f t="shared" ca="1" si="36"/>
        <v>188</v>
      </c>
      <c r="T90" s="13" t="str">
        <f t="shared" ca="1" si="34"/>
        <v>Gilet de cuir
Bouteille d'alcool fort
Parfum
Beaux atours
Uniforme
Carriole
Besaces (3)</v>
      </c>
      <c r="U90" s="697"/>
      <c r="AB90" s="229"/>
      <c r="AC90" s="229"/>
      <c r="AE90" s="237"/>
      <c r="AF90" s="237"/>
      <c r="AG90" s="237"/>
      <c r="AH90" s="237"/>
      <c r="AI90" s="237"/>
      <c r="AJ90" s="237"/>
      <c r="AK90" s="237"/>
      <c r="AL90" s="237"/>
      <c r="AM90" s="237"/>
      <c r="AN90" s="237"/>
      <c r="AO90" s="237"/>
      <c r="AP90" s="237"/>
      <c r="AQ90" s="237"/>
      <c r="AR90" s="237"/>
    </row>
    <row r="91" spans="1:44" s="191" customFormat="1" ht="15.75" thickBot="1">
      <c r="A91" s="651"/>
      <c r="B91" s="186"/>
      <c r="C91" s="186"/>
      <c r="D91" s="186"/>
      <c r="E91" s="186"/>
      <c r="F91" s="14" t="s">
        <v>97</v>
      </c>
      <c r="G91" s="227">
        <v>0</v>
      </c>
      <c r="H91" s="13">
        <f t="shared" si="31"/>
        <v>0</v>
      </c>
      <c r="I91" s="689"/>
      <c r="J91" s="14" t="str">
        <f t="shared" si="28"/>
        <v xml:space="preserve"> </v>
      </c>
      <c r="K91" s="181">
        <v>0</v>
      </c>
      <c r="L91" s="13" t="str">
        <f t="shared" si="32"/>
        <v>Gilet de cuir
Bouteille d'alcool fort</v>
      </c>
      <c r="M91" s="698"/>
      <c r="N91" s="14" t="str">
        <f t="shared" si="29"/>
        <v xml:space="preserve"> </v>
      </c>
      <c r="O91" s="189">
        <f t="shared" ca="1" si="35"/>
        <v>129</v>
      </c>
      <c r="P91" s="13" t="str">
        <f t="shared" ca="1" si="33"/>
        <v>Gilet de cuir
Bouteille d'alcool fort
Parfum
Beaux atours
Uniforme</v>
      </c>
      <c r="Q91" s="698"/>
      <c r="R91" s="14" t="str">
        <f t="shared" si="30"/>
        <v xml:space="preserve"> </v>
      </c>
      <c r="S91" s="190">
        <f t="shared" ca="1" si="36"/>
        <v>188</v>
      </c>
      <c r="T91" s="13" t="str">
        <f t="shared" ca="1" si="34"/>
        <v>Gilet de cuir
Bouteille d'alcool fort
Parfum
Beaux atours
Uniforme
Carriole
Besaces (3)</v>
      </c>
      <c r="U91" s="698"/>
      <c r="AA91" s="49" t="s">
        <v>925</v>
      </c>
      <c r="AB91" s="50" t="s">
        <v>849</v>
      </c>
      <c r="AC91" s="50" t="s">
        <v>850</v>
      </c>
      <c r="AD91" s="51" t="s">
        <v>851</v>
      </c>
      <c r="AG91" s="237"/>
      <c r="AH91" s="237"/>
      <c r="AI91" s="237"/>
      <c r="AJ91" s="237"/>
      <c r="AK91" s="237"/>
      <c r="AL91" s="237"/>
      <c r="AM91" s="237"/>
      <c r="AN91" s="237"/>
      <c r="AO91" s="237"/>
      <c r="AP91" s="237"/>
      <c r="AQ91" s="237"/>
      <c r="AR91" s="237"/>
    </row>
    <row r="92" spans="1:44" s="191" customFormat="1" hidden="1" outlineLevel="1">
      <c r="A92" s="701"/>
      <c r="B92" s="185"/>
      <c r="C92" s="185"/>
      <c r="D92" s="185"/>
      <c r="E92" s="185"/>
      <c r="F92" s="185"/>
      <c r="G92" s="229"/>
      <c r="I92" s="82"/>
      <c r="J92" s="322"/>
      <c r="K92" s="183"/>
      <c r="M92" s="82"/>
      <c r="O92" s="192"/>
      <c r="Q92" s="82"/>
      <c r="S92" s="192"/>
      <c r="U92" s="82"/>
      <c r="AB92" s="229"/>
      <c r="AC92" s="229"/>
      <c r="AG92" s="237"/>
      <c r="AH92" s="237"/>
      <c r="AI92" s="237"/>
      <c r="AJ92" s="237"/>
      <c r="AK92" s="237"/>
      <c r="AL92" s="237"/>
      <c r="AM92" s="237"/>
      <c r="AN92" s="237"/>
      <c r="AO92" s="237"/>
      <c r="AP92" s="237"/>
      <c r="AQ92" s="237"/>
      <c r="AR92" s="237"/>
    </row>
    <row r="93" spans="1:44" hidden="1" outlineLevel="1">
      <c r="A93" s="702"/>
      <c r="B93" s="185"/>
      <c r="C93" s="185"/>
      <c r="D93" s="185"/>
      <c r="J93" s="322"/>
    </row>
    <row r="94" spans="1:44" hidden="1" outlineLevel="1">
      <c r="A94" s="702"/>
      <c r="B94" s="185"/>
      <c r="C94" s="185"/>
      <c r="D94" s="185"/>
      <c r="J94" s="322"/>
    </row>
    <row r="95" spans="1:44" hidden="1" outlineLevel="1">
      <c r="A95" s="702"/>
      <c r="B95" s="185"/>
      <c r="C95" s="185"/>
      <c r="D95" s="185"/>
      <c r="J95" s="322"/>
    </row>
    <row r="96" spans="1:44" hidden="1" outlineLevel="1">
      <c r="A96" s="321"/>
      <c r="B96" s="185"/>
      <c r="C96" s="185"/>
      <c r="D96" s="185"/>
      <c r="J96" s="322"/>
    </row>
    <row r="97" spans="1:4" hidden="1" outlineLevel="1">
      <c r="A97" s="321"/>
      <c r="B97" s="185"/>
      <c r="C97" s="185"/>
      <c r="D97" s="185"/>
    </row>
    <row r="98" spans="1:4" hidden="1" outlineLevel="1">
      <c r="A98" s="321"/>
      <c r="B98" s="185"/>
      <c r="C98" s="185"/>
      <c r="D98" s="185"/>
    </row>
    <row r="99" spans="1:4" hidden="1" outlineLevel="1">
      <c r="A99" s="321"/>
      <c r="B99" s="185"/>
      <c r="C99" s="185"/>
      <c r="D99" s="185"/>
    </row>
    <row r="100" spans="1:4" hidden="1" outlineLevel="1">
      <c r="A100" s="321"/>
      <c r="B100" s="185"/>
      <c r="C100" s="185"/>
      <c r="D100" s="185"/>
    </row>
    <row r="101" spans="1:4" hidden="1" outlineLevel="1">
      <c r="A101" s="321"/>
      <c r="B101" s="185"/>
      <c r="C101" s="185"/>
      <c r="D101" s="185"/>
    </row>
    <row r="102" spans="1:4" hidden="1" outlineLevel="1">
      <c r="A102" s="321"/>
      <c r="B102" s="185"/>
      <c r="C102" s="185"/>
      <c r="D102" s="185"/>
    </row>
    <row r="103" spans="1:4" hidden="1" outlineLevel="1">
      <c r="A103" s="321"/>
      <c r="B103" s="185"/>
      <c r="C103" s="185"/>
      <c r="D103" s="185"/>
    </row>
    <row r="104" spans="1:4" hidden="1" outlineLevel="1">
      <c r="A104" s="321"/>
      <c r="B104" s="185"/>
      <c r="C104" s="185"/>
      <c r="D104" s="185"/>
    </row>
    <row r="105" spans="1:4" hidden="1" outlineLevel="1">
      <c r="A105" s="321"/>
      <c r="B105" s="185"/>
      <c r="C105" s="185"/>
      <c r="D105" s="185"/>
    </row>
    <row r="106" spans="1:4" hidden="1" outlineLevel="1">
      <c r="A106" s="321"/>
      <c r="B106" s="185"/>
      <c r="C106" s="185"/>
      <c r="D106" s="185"/>
    </row>
    <row r="107" spans="1:4" hidden="1" outlineLevel="1">
      <c r="A107" s="321"/>
      <c r="B107" s="185"/>
      <c r="C107" s="185"/>
      <c r="D107" s="185"/>
    </row>
    <row r="108" spans="1:4" hidden="1" outlineLevel="1">
      <c r="A108" s="321"/>
      <c r="B108" s="185"/>
      <c r="C108" s="185"/>
      <c r="D108" s="185"/>
    </row>
    <row r="109" spans="1:4" hidden="1" outlineLevel="1">
      <c r="A109" s="321"/>
      <c r="B109" s="185"/>
      <c r="C109" s="185"/>
      <c r="D109" s="185"/>
    </row>
    <row r="110" spans="1:4" hidden="1" outlineLevel="1">
      <c r="A110" s="321"/>
      <c r="B110" s="185"/>
      <c r="C110" s="185"/>
      <c r="D110" s="185"/>
    </row>
    <row r="111" spans="1:4" hidden="1" outlineLevel="1">
      <c r="A111" s="321"/>
      <c r="B111" s="185"/>
      <c r="C111" s="185"/>
      <c r="D111" s="185"/>
    </row>
    <row r="112" spans="1:4" hidden="1" outlineLevel="1">
      <c r="A112" s="321"/>
      <c r="B112" s="185"/>
      <c r="C112" s="185"/>
      <c r="D112" s="185"/>
    </row>
    <row r="113" spans="1:30" hidden="1" outlineLevel="1">
      <c r="A113" s="321"/>
      <c r="B113" s="185"/>
      <c r="C113" s="185"/>
      <c r="D113" s="185"/>
    </row>
    <row r="114" spans="1:30" hidden="1" outlineLevel="1">
      <c r="A114" s="321"/>
      <c r="B114" s="185"/>
      <c r="C114" s="185"/>
      <c r="D114" s="185"/>
    </row>
    <row r="115" spans="1:30" hidden="1" outlineLevel="1">
      <c r="A115" s="321"/>
      <c r="B115" s="185"/>
      <c r="C115" s="185"/>
      <c r="D115" s="185"/>
    </row>
    <row r="116" spans="1:30" hidden="1" outlineLevel="1">
      <c r="A116" s="321"/>
      <c r="B116" s="185"/>
      <c r="C116" s="185"/>
      <c r="D116" s="185"/>
    </row>
    <row r="117" spans="1:30" hidden="1" outlineLevel="1">
      <c r="A117" s="321"/>
      <c r="B117" s="185"/>
      <c r="C117" s="185"/>
      <c r="D117" s="185"/>
    </row>
    <row r="118" spans="1:30" collapsed="1">
      <c r="A118" s="693" t="s">
        <v>925</v>
      </c>
      <c r="B118" s="138"/>
      <c r="C118" s="138"/>
      <c r="D118" s="138"/>
      <c r="E118" s="138"/>
      <c r="F118" s="138">
        <v>0</v>
      </c>
      <c r="G118" s="281"/>
      <c r="H118" s="138"/>
      <c r="I118" s="326"/>
      <c r="J118" s="9" t="str">
        <f>ArmeC1</f>
        <v xml:space="preserve"> </v>
      </c>
      <c r="K118" s="281">
        <f>IF(J118&lt;&gt;" ",0,1)</f>
        <v>1</v>
      </c>
      <c r="L118" s="11" t="str">
        <f>IF(J118&lt;&gt;" ","J118","")</f>
        <v/>
      </c>
      <c r="M118" s="690" t="str">
        <f>L121</f>
        <v/>
      </c>
      <c r="N118" s="332" t="str">
        <f>ArmeC2</f>
        <v xml:space="preserve"> </v>
      </c>
      <c r="O118" s="338">
        <f>COUNTIF(ArmeC1,N118)+COUNTIF(F118,N118)</f>
        <v>4</v>
      </c>
      <c r="P118" s="335" t="str">
        <f>IF(O118=0,CONCATENATE(M118&amp;"N118"),M118)</f>
        <v/>
      </c>
      <c r="Q118" s="690" t="str">
        <f ca="1">P121</f>
        <v>N118N119</v>
      </c>
      <c r="R118" s="332" t="str">
        <f>ArmeC3</f>
        <v xml:space="preserve"> </v>
      </c>
      <c r="S118" s="338">
        <f>COUNTIF(ArmeC1,R118)+COUNTIF(ArmeC2,R118)+COUNTIF(F118,R118)</f>
        <v>8</v>
      </c>
      <c r="T118" s="335" t="str">
        <f ca="1">IF(S118=0,CONCATENATE(Q118&amp;"R118"),Q118)</f>
        <v>N118N119</v>
      </c>
      <c r="U118" s="687" t="str">
        <f ca="1">T121</f>
        <v>N118N119</v>
      </c>
      <c r="AA118" s="9" t="str">
        <f ca="1">INDIRECT(MID($U$118,AB118,$AC$118))</f>
        <v>Arc</v>
      </c>
      <c r="AB118" s="281">
        <v>1</v>
      </c>
      <c r="AC118" s="281">
        <v>4</v>
      </c>
      <c r="AD118" s="329">
        <f>COUNTIF(S118:S121,0)+COUNTIF(O118:O121,0)+COUNTIF(K118:K121,0)</f>
        <v>0</v>
      </c>
    </row>
    <row r="119" spans="1:30">
      <c r="A119" s="694"/>
      <c r="B119" s="137"/>
      <c r="C119" s="137"/>
      <c r="D119" s="137"/>
      <c r="E119" s="137"/>
      <c r="F119" s="137">
        <v>0</v>
      </c>
      <c r="G119" s="282"/>
      <c r="H119" s="137"/>
      <c r="I119" s="327"/>
      <c r="J119" s="12" t="str">
        <f>ArmeC1</f>
        <v xml:space="preserve"> </v>
      </c>
      <c r="K119" s="282">
        <f>IF(J119&lt;&gt;" ",0,1)</f>
        <v>1</v>
      </c>
      <c r="L119" s="13" t="str">
        <f>IF(J119&lt;&gt;" ",CONCATENATE(L118&amp;"J119"),L118)</f>
        <v/>
      </c>
      <c r="M119" s="691"/>
      <c r="N119" s="333" t="str">
        <f>ArmeC2</f>
        <v xml:space="preserve"> </v>
      </c>
      <c r="O119" s="339">
        <f>COUNTIF(ArmeC1,N119)+COUNTIF(F119,N119)</f>
        <v>4</v>
      </c>
      <c r="P119" s="336" t="str">
        <f ca="1">IF(O119=0,CONCATENATE(P118&amp;"N119"),P119)</f>
        <v>N118N119</v>
      </c>
      <c r="Q119" s="691"/>
      <c r="R119" s="333">
        <f>ArmeC3</f>
        <v>0</v>
      </c>
      <c r="S119" s="339">
        <f>COUNTIF(ArmeC1,R119)+COUNTIF(ArmeC2,R119)+COUNTIF(F119,R119)</f>
        <v>1</v>
      </c>
      <c r="T119" s="336" t="str">
        <f ca="1">IF(S119=0,CONCATENATE(T118&amp;"R119"),T118)</f>
        <v>N118N119</v>
      </c>
      <c r="U119" s="688"/>
      <c r="AA119" s="12" t="str">
        <f t="shared" ref="AA119:AA126" ca="1" si="37">INDIRECT(MID($U$118,AB119,$AC$118))</f>
        <v>Hallebarde</v>
      </c>
      <c r="AB119" s="282">
        <v>5</v>
      </c>
      <c r="AC119" s="282"/>
      <c r="AD119" s="330"/>
    </row>
    <row r="120" spans="1:30">
      <c r="A120" s="694"/>
      <c r="B120" s="137"/>
      <c r="C120" s="137"/>
      <c r="D120" s="137"/>
      <c r="E120" s="137"/>
      <c r="F120" s="137">
        <v>0</v>
      </c>
      <c r="G120" s="282"/>
      <c r="H120" s="137"/>
      <c r="I120" s="327"/>
      <c r="J120" s="12" t="str">
        <f>ArmeC1</f>
        <v xml:space="preserve"> </v>
      </c>
      <c r="K120" s="282">
        <f>IF(J120&lt;&gt;" ",0,1)</f>
        <v>1</v>
      </c>
      <c r="L120" s="13" t="str">
        <f>IF(J120&lt;&gt;" ",CONCATENATE(L119&amp;"J120"),L119)</f>
        <v/>
      </c>
      <c r="M120" s="691"/>
      <c r="N120" s="333" t="str">
        <f>ArmeC2</f>
        <v xml:space="preserve"> </v>
      </c>
      <c r="O120" s="339">
        <f>COUNTIF(ArmeC1,N120)+COUNTIF(F120,N120)</f>
        <v>4</v>
      </c>
      <c r="P120" s="336" t="str">
        <f ca="1">IF(O120=0,CONCATENATE(P119&amp;"N120"),P119)</f>
        <v>N118N119</v>
      </c>
      <c r="Q120" s="691"/>
      <c r="R120" s="333">
        <f>ArmeC3</f>
        <v>0</v>
      </c>
      <c r="S120" s="339">
        <f>COUNTIF(ArmeC1,R120)+COUNTIF(ArmeC2,R120)+COUNTIF(F120,R120)</f>
        <v>1</v>
      </c>
      <c r="T120" s="336" t="str">
        <f ca="1">IF(S120=0,CONCATENATE(T119&amp;"R120"),T119)</f>
        <v>N118N119</v>
      </c>
      <c r="U120" s="688"/>
      <c r="AA120" s="12" t="e">
        <f t="shared" ca="1" si="37"/>
        <v>#REF!</v>
      </c>
      <c r="AB120" s="282">
        <v>9</v>
      </c>
      <c r="AC120" s="282"/>
      <c r="AD120" s="330"/>
    </row>
    <row r="121" spans="1:30" ht="15.75" thickBot="1">
      <c r="A121" s="695"/>
      <c r="B121" s="15"/>
      <c r="C121" s="15"/>
      <c r="D121" s="15"/>
      <c r="E121" s="15"/>
      <c r="F121" s="15">
        <v>0</v>
      </c>
      <c r="G121" s="283"/>
      <c r="H121" s="15"/>
      <c r="I121" s="328"/>
      <c r="J121" s="14" t="str">
        <f>ArmeC1</f>
        <v xml:space="preserve"> </v>
      </c>
      <c r="K121" s="283">
        <f>IF(J121&lt;&gt;" ",0,1)</f>
        <v>1</v>
      </c>
      <c r="L121" s="16" t="str">
        <f>IF(J121&lt;&gt;" ",CONCATENATE(L120&amp;"J121"),L120)</f>
        <v/>
      </c>
      <c r="M121" s="692"/>
      <c r="N121" s="334" t="str">
        <f>ArmeC2</f>
        <v xml:space="preserve"> </v>
      </c>
      <c r="O121" s="340">
        <f>COUNTIF(ArmeC1,N121)+COUNTIF(F121,N121)</f>
        <v>4</v>
      </c>
      <c r="P121" s="337" t="str">
        <f ca="1">IF(O121=0,CONCATENATE(P120&amp;"N121"),P120)</f>
        <v>N118N119</v>
      </c>
      <c r="Q121" s="692"/>
      <c r="R121" s="334">
        <f>ArmeC3</f>
        <v>0</v>
      </c>
      <c r="S121" s="340">
        <f>COUNTIF(ArmeC1,R121)+COUNTIF(ArmeC2,R121)+COUNTIF(F121,R121)</f>
        <v>1</v>
      </c>
      <c r="T121" s="337" t="str">
        <f ca="1">IF(S121=0,CONCATENATE(T120&amp;"R121"),T120)</f>
        <v>N118N119</v>
      </c>
      <c r="U121" s="689"/>
      <c r="AA121" s="12" t="e">
        <f t="shared" ca="1" si="37"/>
        <v>#REF!</v>
      </c>
      <c r="AB121" s="282">
        <v>13</v>
      </c>
      <c r="AC121" s="282"/>
      <c r="AD121" s="330"/>
    </row>
    <row r="122" spans="1:30" ht="15" customHeight="1">
      <c r="A122" s="325"/>
      <c r="J122" s="191"/>
      <c r="AA122" s="12" t="e">
        <f t="shared" ca="1" si="37"/>
        <v>#REF!</v>
      </c>
      <c r="AB122" s="282">
        <v>17</v>
      </c>
      <c r="AC122" s="282"/>
      <c r="AD122" s="330"/>
    </row>
    <row r="123" spans="1:30">
      <c r="AA123" s="12" t="e">
        <f t="shared" ca="1" si="37"/>
        <v>#REF!</v>
      </c>
      <c r="AB123" s="282">
        <v>21</v>
      </c>
      <c r="AC123" s="282"/>
      <c r="AD123" s="330"/>
    </row>
    <row r="124" spans="1:30">
      <c r="AA124" s="12" t="e">
        <f t="shared" ca="1" si="37"/>
        <v>#REF!</v>
      </c>
      <c r="AB124" s="282">
        <v>25</v>
      </c>
      <c r="AC124" s="282"/>
      <c r="AD124" s="330"/>
    </row>
    <row r="125" spans="1:30">
      <c r="AA125" s="12" t="e">
        <f t="shared" ca="1" si="37"/>
        <v>#REF!</v>
      </c>
      <c r="AB125" s="282">
        <v>29</v>
      </c>
      <c r="AC125" s="282"/>
      <c r="AD125" s="330"/>
    </row>
    <row r="126" spans="1:30" ht="15.75" thickBot="1">
      <c r="AA126" s="14" t="e">
        <f t="shared" ca="1" si="37"/>
        <v>#REF!</v>
      </c>
      <c r="AB126" s="283">
        <v>33</v>
      </c>
      <c r="AC126" s="283"/>
      <c r="AD126" s="331"/>
    </row>
  </sheetData>
  <sheetProtection password="D80B" sheet="1" objects="1" scenarios="1" insertColumns="0" insertRows="0" insertHyperlinks="0" deleteColumns="0" deleteRows="0"/>
  <dataConsolidate/>
  <mergeCells count="26">
    <mergeCell ref="A2:A13"/>
    <mergeCell ref="A14:A33"/>
    <mergeCell ref="A34:A52"/>
    <mergeCell ref="A53:A71"/>
    <mergeCell ref="A92:A95"/>
    <mergeCell ref="M14:M33"/>
    <mergeCell ref="M34:M52"/>
    <mergeCell ref="M53:M71"/>
    <mergeCell ref="M72:M91"/>
    <mergeCell ref="A72:A91"/>
    <mergeCell ref="U118:U121"/>
    <mergeCell ref="Q118:Q121"/>
    <mergeCell ref="M118:M121"/>
    <mergeCell ref="A118:A121"/>
    <mergeCell ref="Q14:Q33"/>
    <mergeCell ref="Q34:Q52"/>
    <mergeCell ref="Q53:Q71"/>
    <mergeCell ref="Q72:Q91"/>
    <mergeCell ref="U14:U33"/>
    <mergeCell ref="U34:U52"/>
    <mergeCell ref="U53:U71"/>
    <mergeCell ref="U72:U91"/>
    <mergeCell ref="I14:I33"/>
    <mergeCell ref="I34:I52"/>
    <mergeCell ref="I53:I71"/>
    <mergeCell ref="I72:I91"/>
  </mergeCells>
  <conditionalFormatting sqref="K1:K91 O1:O91 S1:S91 G1:G91">
    <cfRule type="cellIs" dxfId="3" priority="3" operator="equal">
      <formula>"Oui"</formula>
    </cfRule>
    <cfRule type="cellIs" dxfId="2" priority="4" operator="equal">
      <formula>"Non"</formula>
    </cfRule>
  </conditionalFormatting>
  <conditionalFormatting sqref="K1:K91 O1:O91 S1:S91 G1:G91">
    <cfRule type="cellIs" dxfId="1" priority="1" operator="greaterThan">
      <formula>0.1</formula>
    </cfRule>
    <cfRule type="cellIs" dxfId="0" priority="2" operator="equal">
      <formula>0</formula>
    </cfRule>
  </conditionalFormatting>
  <dataValidations count="2">
    <dataValidation type="list" allowBlank="1" showInputMessage="1" showErrorMessage="1" sqref="AM15:AQ28">
      <formula1>EquipementListe</formula1>
    </dataValidation>
    <dataValidation type="list" allowBlank="1" showInputMessage="1" showErrorMessage="1" sqref="AM29:AQ33">
      <formula1>#REF!</formula1>
    </dataValidation>
  </dataValidation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dimension ref="A1:AR12"/>
  <sheetViews>
    <sheetView topLeftCell="AD1" workbookViewId="0">
      <selection activeCell="AN4" sqref="AN4"/>
    </sheetView>
  </sheetViews>
  <sheetFormatPr baseColWidth="10" defaultColWidth="9.140625" defaultRowHeight="15"/>
  <cols>
    <col min="1" max="1" width="16" customWidth="1"/>
    <col min="2" max="2" width="5.140625" customWidth="1"/>
    <col min="3" max="3" width="13.28515625" bestFit="1" customWidth="1"/>
    <col min="4" max="4" width="19.85546875" bestFit="1" customWidth="1"/>
    <col min="5" max="5" width="17" bestFit="1" customWidth="1"/>
    <col min="6" max="7" width="10.28515625" bestFit="1" customWidth="1"/>
    <col min="8" max="8" width="10.7109375" bestFit="1" customWidth="1"/>
    <col min="9" max="9" width="13.28515625" bestFit="1" customWidth="1"/>
    <col min="10" max="10" width="18.140625" bestFit="1" customWidth="1"/>
    <col min="11" max="11" width="16.140625" bestFit="1" customWidth="1"/>
    <col min="12" max="12" width="16.42578125" bestFit="1" customWidth="1"/>
    <col min="13" max="13" width="21" bestFit="1" customWidth="1"/>
    <col min="14" max="14" width="22.85546875" bestFit="1" customWidth="1"/>
    <col min="15" max="15" width="21.140625" bestFit="1" customWidth="1"/>
    <col min="16" max="16" width="14" bestFit="1" customWidth="1"/>
    <col min="17" max="17" width="18.7109375" bestFit="1" customWidth="1"/>
    <col min="18" max="18" width="18.85546875" bestFit="1" customWidth="1"/>
    <col min="19" max="19" width="10.28515625" bestFit="1" customWidth="1"/>
    <col min="20" max="20" width="12.140625" bestFit="1" customWidth="1"/>
    <col min="21" max="21" width="28.140625" bestFit="1" customWidth="1"/>
    <col min="22" max="22" width="14" bestFit="1" customWidth="1"/>
    <col min="23" max="23" width="20.7109375" bestFit="1" customWidth="1"/>
    <col min="24" max="24" width="14.7109375" bestFit="1" customWidth="1"/>
    <col min="25" max="25" width="21.42578125" bestFit="1" customWidth="1"/>
    <col min="26" max="27" width="13.140625" bestFit="1" customWidth="1"/>
    <col min="28" max="28" width="10.85546875" bestFit="1" customWidth="1"/>
    <col min="29" max="29" width="13.28515625" bestFit="1" customWidth="1"/>
    <col min="30" max="30" width="10.7109375" bestFit="1" customWidth="1"/>
    <col min="31" max="31" width="13.28515625" bestFit="1" customWidth="1"/>
    <col min="32" max="32" width="10.28515625" bestFit="1" customWidth="1"/>
    <col min="33" max="33" width="10.42578125" bestFit="1" customWidth="1"/>
    <col min="34" max="34" width="28.140625" bestFit="1" customWidth="1"/>
    <col min="35" max="35" width="14" bestFit="1" customWidth="1"/>
    <col min="36" max="36" width="21" bestFit="1" customWidth="1"/>
    <col min="37" max="37" width="20.42578125" bestFit="1" customWidth="1"/>
    <col min="38" max="38" width="11" bestFit="1" customWidth="1"/>
    <col min="39" max="39" width="20.7109375" bestFit="1" customWidth="1"/>
    <col min="40" max="40" width="21" bestFit="1" customWidth="1"/>
    <col min="41" max="41" width="22.85546875" bestFit="1" customWidth="1"/>
    <col min="42" max="42" width="10.140625" bestFit="1" customWidth="1"/>
    <col min="43" max="43" width="31.7109375" bestFit="1" customWidth="1"/>
    <col min="44" max="44" width="10.28515625" bestFit="1" customWidth="1"/>
  </cols>
  <sheetData>
    <row r="1" spans="1:44" ht="15.75" thickBot="1">
      <c r="B1" t="s">
        <v>97</v>
      </c>
      <c r="C1" s="320" t="s">
        <v>706</v>
      </c>
      <c r="D1" s="97" t="s">
        <v>704</v>
      </c>
      <c r="E1" s="97" t="s">
        <v>705</v>
      </c>
      <c r="F1" s="97" t="s">
        <v>709</v>
      </c>
      <c r="G1" s="97" t="s">
        <v>146</v>
      </c>
      <c r="H1" s="97" t="s">
        <v>707</v>
      </c>
      <c r="I1" s="97" t="s">
        <v>708</v>
      </c>
      <c r="J1" s="50" t="s">
        <v>106</v>
      </c>
      <c r="K1" s="50" t="s">
        <v>687</v>
      </c>
      <c r="L1" s="50" t="s">
        <v>688</v>
      </c>
      <c r="M1" s="97" t="s">
        <v>176</v>
      </c>
      <c r="N1" s="97" t="s">
        <v>710</v>
      </c>
      <c r="O1" s="50" t="s">
        <v>522</v>
      </c>
      <c r="P1" s="97" t="s">
        <v>151</v>
      </c>
      <c r="Q1" s="97" t="s">
        <v>107</v>
      </c>
      <c r="R1" s="97" t="s">
        <v>691</v>
      </c>
      <c r="S1" s="97" t="s">
        <v>144</v>
      </c>
      <c r="T1" s="97" t="s">
        <v>145</v>
      </c>
      <c r="U1" s="97" t="s">
        <v>124</v>
      </c>
      <c r="V1" s="97" t="s">
        <v>117</v>
      </c>
      <c r="W1" s="97" t="s">
        <v>137</v>
      </c>
      <c r="X1" s="97" t="s">
        <v>140</v>
      </c>
      <c r="Y1" s="97" t="s">
        <v>121</v>
      </c>
      <c r="Z1" s="97" t="s">
        <v>164</v>
      </c>
      <c r="AA1" s="97" t="s">
        <v>711</v>
      </c>
      <c r="AB1" s="97" t="s">
        <v>700</v>
      </c>
      <c r="AC1" s="97" t="s">
        <v>712</v>
      </c>
      <c r="AD1" s="97" t="s">
        <v>159</v>
      </c>
      <c r="AE1" s="50" t="s">
        <v>713</v>
      </c>
      <c r="AF1" s="97" t="s">
        <v>167</v>
      </c>
      <c r="AG1" s="50" t="s">
        <v>741</v>
      </c>
      <c r="AH1" s="97" t="s">
        <v>701</v>
      </c>
      <c r="AI1" s="50" t="s">
        <v>122</v>
      </c>
      <c r="AJ1" s="50" t="s">
        <v>714</v>
      </c>
      <c r="AK1" s="97" t="s">
        <v>702</v>
      </c>
      <c r="AL1" s="97" t="s">
        <v>703</v>
      </c>
      <c r="AM1" s="97" t="s">
        <v>138</v>
      </c>
      <c r="AN1" s="50" t="s">
        <v>716</v>
      </c>
      <c r="AO1" s="50" t="s">
        <v>715</v>
      </c>
      <c r="AP1" s="97" t="s">
        <v>524</v>
      </c>
      <c r="AQ1" s="97" t="s">
        <v>143</v>
      </c>
      <c r="AR1" s="51" t="s">
        <v>717</v>
      </c>
    </row>
    <row r="2" spans="1:44" ht="15.75" thickBot="1">
      <c r="A2" s="97" t="s">
        <v>640</v>
      </c>
      <c r="B2" s="100" t="s">
        <v>97</v>
      </c>
      <c r="C2" s="65">
        <v>120</v>
      </c>
      <c r="D2" s="103">
        <v>150</v>
      </c>
      <c r="E2" s="103">
        <v>25</v>
      </c>
      <c r="F2" s="103">
        <v>80</v>
      </c>
      <c r="G2" s="103">
        <v>75</v>
      </c>
      <c r="H2" s="103">
        <v>75</v>
      </c>
      <c r="I2" s="103">
        <v>90</v>
      </c>
      <c r="J2" s="103">
        <v>200</v>
      </c>
      <c r="K2" s="103">
        <v>50</v>
      </c>
      <c r="L2" s="103">
        <v>35</v>
      </c>
      <c r="M2" s="103">
        <v>30</v>
      </c>
      <c r="N2" s="103">
        <v>30</v>
      </c>
      <c r="O2" s="103">
        <v>50</v>
      </c>
      <c r="P2" s="103">
        <v>20</v>
      </c>
      <c r="Q2" s="103">
        <v>50</v>
      </c>
      <c r="R2" s="103">
        <v>40</v>
      </c>
      <c r="S2" s="103">
        <v>10</v>
      </c>
      <c r="T2" s="103">
        <v>10</v>
      </c>
      <c r="U2" s="103">
        <v>75</v>
      </c>
      <c r="V2" s="103">
        <v>60</v>
      </c>
      <c r="W2" s="103">
        <v>95</v>
      </c>
      <c r="X2" s="103">
        <v>40</v>
      </c>
      <c r="Y2" s="103">
        <v>40</v>
      </c>
      <c r="Z2" s="103">
        <v>10</v>
      </c>
      <c r="AA2" s="103">
        <v>50</v>
      </c>
      <c r="AB2" s="103">
        <v>1</v>
      </c>
      <c r="AC2" s="103">
        <v>40</v>
      </c>
      <c r="AD2" s="103">
        <v>175</v>
      </c>
      <c r="AE2" s="103">
        <v>30</v>
      </c>
      <c r="AF2" s="103">
        <v>50</v>
      </c>
      <c r="AG2" s="103">
        <v>50</v>
      </c>
      <c r="AH2" s="103">
        <v>100</v>
      </c>
      <c r="AI2" s="103">
        <v>10</v>
      </c>
      <c r="AJ2" s="103">
        <v>70</v>
      </c>
      <c r="AK2" s="103">
        <v>15</v>
      </c>
      <c r="AL2" s="103"/>
      <c r="AM2" s="103">
        <v>60</v>
      </c>
      <c r="AN2" s="103">
        <v>25</v>
      </c>
      <c r="AO2" s="103">
        <v>25</v>
      </c>
      <c r="AP2" s="103">
        <v>40</v>
      </c>
      <c r="AQ2" s="103">
        <v>10</v>
      </c>
      <c r="AR2" s="69">
        <v>50</v>
      </c>
    </row>
    <row r="3" spans="1:44" ht="15.75" thickBot="1">
      <c r="A3" s="97" t="s">
        <v>661</v>
      </c>
      <c r="B3" s="100" t="s">
        <v>97</v>
      </c>
      <c r="C3" s="27">
        <v>4</v>
      </c>
      <c r="D3" s="284">
        <v>2</v>
      </c>
      <c r="E3" s="284">
        <v>2</v>
      </c>
      <c r="F3" s="284">
        <f ca="1">3+COUNTIF(TalentFinal,"*Tir en puissance*")</f>
        <v>3</v>
      </c>
      <c r="G3" s="284">
        <f ca="1">3+COUNTIF(TalentFinal,"*Tir en puissance*")</f>
        <v>3</v>
      </c>
      <c r="H3" s="284">
        <f ca="1">3+COUNTIF(TalentFinal,"*Tir en puissance*")</f>
        <v>3</v>
      </c>
      <c r="I3" s="284">
        <f ca="1">3+COUNTIF(TalentFinal,"*Tir en puissance*")</f>
        <v>3</v>
      </c>
      <c r="J3" s="284">
        <f ca="1">BF+COUNTIF(TalentFinal,"*Coup puissant*")</f>
        <v>4</v>
      </c>
      <c r="K3" s="284">
        <f ca="1">BF+COUNTIF(TalentFinal,"*Coup puissant*")</f>
        <v>4</v>
      </c>
      <c r="L3" s="284">
        <f ca="1">BF-4+COUNTIF(TalentFinal,"*Coup puissant*")</f>
        <v>0</v>
      </c>
      <c r="M3" s="284">
        <v>4</v>
      </c>
      <c r="N3" s="284">
        <v>4</v>
      </c>
      <c r="O3" s="284">
        <f ca="1">BF-2+COUNTIF(TalentFinal,"*Coup puissant*")</f>
        <v>2</v>
      </c>
      <c r="P3" s="284" t="s">
        <v>718</v>
      </c>
      <c r="Q3" s="284">
        <f ca="1">BF-2+COUNTIF(TalentFinal,"*Coup puissant*")</f>
        <v>2</v>
      </c>
      <c r="R3" s="284">
        <f ca="1">BF-3+COUNTIF(TalentFinal,"*Coup puissant*")</f>
        <v>1</v>
      </c>
      <c r="S3" s="284">
        <f ca="1">BF-3+COUNTIF(TalentFinal,"*Coup puissant*")</f>
        <v>1</v>
      </c>
      <c r="T3" s="284">
        <f ca="1">BF-3+COUNTIF(TalentFinal,"*Tir en puissance*")</f>
        <v>0</v>
      </c>
      <c r="U3" s="284">
        <f ca="1">BF+COUNTIF(TalentFinal,"*Coup puissant*")</f>
        <v>4</v>
      </c>
      <c r="V3" s="284" t="s">
        <v>718</v>
      </c>
      <c r="W3" s="284">
        <f ca="1">BF+1+COUNTIF(TalentFinal,"*Coup puissant*")</f>
        <v>5</v>
      </c>
      <c r="X3" s="284">
        <f ca="1">BF-2+COUNTIF(TalentFinal,"*Coup puissant*")</f>
        <v>2</v>
      </c>
      <c r="Y3" s="284">
        <f ca="1">BF-4</f>
        <v>-1</v>
      </c>
      <c r="Z3" s="284">
        <f ca="1">3+COUNTIF(TalentFinal,"*Tir en puissance*")</f>
        <v>3</v>
      </c>
      <c r="AA3" s="284">
        <f ca="1">4+COUNTIF(TalentFinal,"*Tir en puissance*")</f>
        <v>4</v>
      </c>
      <c r="AB3" s="284">
        <f ca="1">BF-3+COUNTIF(TalentFinal,"*Coup puissant*")</f>
        <v>1</v>
      </c>
      <c r="AC3" s="284">
        <f ca="1">BF-2+COUNTIF(TalentFinal,"*Tir en puissance*")</f>
        <v>1</v>
      </c>
      <c r="AD3" s="284">
        <f ca="1">BF+COUNTIF(TalentFinal,"*Coup puissant*")</f>
        <v>4</v>
      </c>
      <c r="AE3" s="284">
        <f ca="1">BF-1+COUNTIF(TalentFinal,"*Tir en puissance*")</f>
        <v>2</v>
      </c>
      <c r="AF3" s="284">
        <f ca="1">BF+COUNTIF(TalentFinal,"*Coup puissant*")</f>
        <v>4</v>
      </c>
      <c r="AG3" s="284">
        <f ca="1">BF+COUNTIF(TalentFinal,"*Tir en puissance*")</f>
        <v>3</v>
      </c>
      <c r="AH3" s="284">
        <f ca="1">BF+1+COUNTIF(TalentFinal,"*Coup puissant*")</f>
        <v>5</v>
      </c>
      <c r="AI3" s="284" t="s">
        <v>718</v>
      </c>
      <c r="AJ3" s="284">
        <v>4</v>
      </c>
      <c r="AK3" s="284">
        <f ca="1">BF-3+COUNTIF(TalentFinal,"*Coup puissant*")</f>
        <v>1</v>
      </c>
      <c r="AL3" s="284">
        <f ca="1">BF-4+COUNTIF(TalentFinal,"*Coup puissant*")</f>
        <v>0</v>
      </c>
      <c r="AM3" s="284">
        <f ca="1">BF+COUNTIF(TalentFinal,"*Coup puissant*")</f>
        <v>4</v>
      </c>
      <c r="AN3" s="284">
        <v>4</v>
      </c>
      <c r="AO3" s="284">
        <v>4</v>
      </c>
      <c r="AP3" s="284">
        <f ca="1">BF-1+COUNTIF(TalentFinal,"*Coup puissant*")</f>
        <v>3</v>
      </c>
      <c r="AQ3" s="284">
        <f ca="1">BF-4+COUNTIF(TalentFinal,"*Coup puissant*")</f>
        <v>0</v>
      </c>
      <c r="AR3" s="285">
        <v>3</v>
      </c>
    </row>
    <row r="4" spans="1:44" s="2" customFormat="1" ht="15.75" thickBot="1">
      <c r="A4" s="98" t="s">
        <v>641</v>
      </c>
      <c r="B4" s="316" t="s">
        <v>97</v>
      </c>
      <c r="C4" s="317" t="s">
        <v>721</v>
      </c>
      <c r="D4" s="79" t="s">
        <v>719</v>
      </c>
      <c r="E4" s="79" t="s">
        <v>720</v>
      </c>
      <c r="F4" s="79" t="s">
        <v>723</v>
      </c>
      <c r="G4" s="79" t="s">
        <v>719</v>
      </c>
      <c r="H4" s="79" t="s">
        <v>722</v>
      </c>
      <c r="I4" s="79" t="s">
        <v>721</v>
      </c>
      <c r="J4" s="79" t="s">
        <v>737</v>
      </c>
      <c r="K4" s="79" t="s">
        <v>737</v>
      </c>
      <c r="L4" s="79" t="s">
        <v>737</v>
      </c>
      <c r="M4" s="79" t="s">
        <v>723</v>
      </c>
      <c r="N4" s="79" t="s">
        <v>723</v>
      </c>
      <c r="O4" s="79" t="s">
        <v>737</v>
      </c>
      <c r="P4" s="79" t="s">
        <v>720</v>
      </c>
      <c r="Q4" s="79" t="s">
        <v>737</v>
      </c>
      <c r="R4" s="79" t="s">
        <v>737</v>
      </c>
      <c r="S4" s="79" t="s">
        <v>737</v>
      </c>
      <c r="T4" s="79" t="s">
        <v>725</v>
      </c>
      <c r="U4" s="79" t="s">
        <v>737</v>
      </c>
      <c r="V4" s="79" t="s">
        <v>726</v>
      </c>
      <c r="W4" s="79" t="s">
        <v>737</v>
      </c>
      <c r="X4" s="79" t="s">
        <v>737</v>
      </c>
      <c r="Y4" s="79" t="s">
        <v>724</v>
      </c>
      <c r="Z4" s="79" t="s">
        <v>719</v>
      </c>
      <c r="AA4" s="79" t="s">
        <v>723</v>
      </c>
      <c r="AB4" s="79" t="s">
        <v>737</v>
      </c>
      <c r="AC4" s="79" t="s">
        <v>727</v>
      </c>
      <c r="AD4" s="79" t="s">
        <v>737</v>
      </c>
      <c r="AE4" s="79" t="s">
        <v>720</v>
      </c>
      <c r="AF4" s="79" t="s">
        <v>737</v>
      </c>
      <c r="AG4" s="79" t="s">
        <v>727</v>
      </c>
      <c r="AH4" s="79" t="s">
        <v>737</v>
      </c>
      <c r="AI4" s="79" t="s">
        <v>727</v>
      </c>
      <c r="AJ4" s="79" t="s">
        <v>728</v>
      </c>
      <c r="AK4" s="79" t="s">
        <v>737</v>
      </c>
      <c r="AL4" s="79" t="s">
        <v>737</v>
      </c>
      <c r="AM4" s="79" t="s">
        <v>737</v>
      </c>
      <c r="AN4" s="79" t="s">
        <v>720</v>
      </c>
      <c r="AO4" s="79" t="s">
        <v>720</v>
      </c>
      <c r="AP4" s="79" t="s">
        <v>737</v>
      </c>
      <c r="AQ4" s="79" t="s">
        <v>737</v>
      </c>
      <c r="AR4" s="133" t="s">
        <v>729</v>
      </c>
    </row>
    <row r="5" spans="1:44" ht="15.75" thickBot="1">
      <c r="A5" s="97" t="s">
        <v>642</v>
      </c>
      <c r="B5" s="100" t="s">
        <v>97</v>
      </c>
      <c r="C5" s="27" t="s">
        <v>731</v>
      </c>
      <c r="D5" s="284" t="s">
        <v>730</v>
      </c>
      <c r="E5" s="284" t="s">
        <v>732</v>
      </c>
      <c r="F5" s="284" t="s">
        <v>731</v>
      </c>
      <c r="G5" s="284" t="s">
        <v>731</v>
      </c>
      <c r="H5" s="284" t="s">
        <v>731</v>
      </c>
      <c r="I5" s="284" t="s">
        <v>731</v>
      </c>
      <c r="J5" s="79" t="s">
        <v>737</v>
      </c>
      <c r="K5" s="79" t="s">
        <v>737</v>
      </c>
      <c r="L5" s="79" t="s">
        <v>737</v>
      </c>
      <c r="M5" s="284" t="s">
        <v>733</v>
      </c>
      <c r="N5" s="284" t="s">
        <v>734</v>
      </c>
      <c r="O5" s="79" t="s">
        <v>737</v>
      </c>
      <c r="P5" s="284" t="s">
        <v>731</v>
      </c>
      <c r="Q5" s="79" t="s">
        <v>737</v>
      </c>
      <c r="R5" s="79" t="s">
        <v>737</v>
      </c>
      <c r="S5" s="79" t="s">
        <v>737</v>
      </c>
      <c r="T5" s="284" t="s">
        <v>731</v>
      </c>
      <c r="U5" s="79" t="s">
        <v>737</v>
      </c>
      <c r="V5" s="284" t="s">
        <v>732</v>
      </c>
      <c r="W5" s="79" t="s">
        <v>737</v>
      </c>
      <c r="X5" s="79" t="s">
        <v>737</v>
      </c>
      <c r="Y5" s="284" t="s">
        <v>731</v>
      </c>
      <c r="Z5" s="284" t="s">
        <v>731</v>
      </c>
      <c r="AA5" s="284" t="s">
        <v>732</v>
      </c>
      <c r="AB5" s="79" t="s">
        <v>737</v>
      </c>
      <c r="AC5" s="284" t="s">
        <v>731</v>
      </c>
      <c r="AD5" s="79" t="s">
        <v>737</v>
      </c>
      <c r="AE5" s="96" t="s">
        <v>731</v>
      </c>
      <c r="AF5" s="79" t="s">
        <v>737</v>
      </c>
      <c r="AG5" s="96" t="s">
        <v>731</v>
      </c>
      <c r="AH5" s="79" t="s">
        <v>737</v>
      </c>
      <c r="AI5" s="96" t="s">
        <v>731</v>
      </c>
      <c r="AJ5" s="96" t="s">
        <v>733</v>
      </c>
      <c r="AK5" s="79" t="s">
        <v>737</v>
      </c>
      <c r="AL5" s="79" t="s">
        <v>737</v>
      </c>
      <c r="AM5" s="79" t="s">
        <v>737</v>
      </c>
      <c r="AN5" s="96" t="s">
        <v>733</v>
      </c>
      <c r="AO5" s="96" t="s">
        <v>734</v>
      </c>
      <c r="AP5" s="79" t="s">
        <v>737</v>
      </c>
      <c r="AQ5" s="79" t="s">
        <v>737</v>
      </c>
      <c r="AR5" s="299" t="s">
        <v>735</v>
      </c>
    </row>
    <row r="6" spans="1:44" ht="15.75" thickBot="1">
      <c r="A6" s="97" t="s">
        <v>643</v>
      </c>
      <c r="B6" s="100" t="s">
        <v>97</v>
      </c>
      <c r="C6" s="27" t="s">
        <v>680</v>
      </c>
      <c r="D6" s="284" t="s">
        <v>680</v>
      </c>
      <c r="E6" s="284" t="s">
        <v>680</v>
      </c>
      <c r="F6" s="284" t="s">
        <v>675</v>
      </c>
      <c r="G6" s="284" t="s">
        <v>675</v>
      </c>
      <c r="H6" s="284" t="s">
        <v>681</v>
      </c>
      <c r="I6" s="284" t="s">
        <v>681</v>
      </c>
      <c r="J6" s="284" t="s">
        <v>674</v>
      </c>
      <c r="K6" s="284" t="s">
        <v>675</v>
      </c>
      <c r="L6" s="284" t="s">
        <v>675</v>
      </c>
      <c r="M6" s="284" t="s">
        <v>683</v>
      </c>
      <c r="N6" s="284" t="s">
        <v>675</v>
      </c>
      <c r="O6" s="284" t="s">
        <v>675</v>
      </c>
      <c r="P6" s="284" t="s">
        <v>684</v>
      </c>
      <c r="Q6" s="284" t="s">
        <v>675</v>
      </c>
      <c r="R6" s="284" t="s">
        <v>676</v>
      </c>
      <c r="S6" s="284" t="s">
        <v>675</v>
      </c>
      <c r="T6" s="284" t="s">
        <v>686</v>
      </c>
      <c r="U6" s="284" t="s">
        <v>677</v>
      </c>
      <c r="V6" s="284" t="s">
        <v>684</v>
      </c>
      <c r="W6" s="284" t="s">
        <v>678</v>
      </c>
      <c r="X6" s="284" t="s">
        <v>679</v>
      </c>
      <c r="Y6" s="284" t="s">
        <v>684</v>
      </c>
      <c r="Z6" s="284" t="s">
        <v>685</v>
      </c>
      <c r="AA6" s="284" t="s">
        <v>685</v>
      </c>
      <c r="AB6" s="284" t="s">
        <v>675</v>
      </c>
      <c r="AC6" s="284" t="s">
        <v>686</v>
      </c>
      <c r="AD6" s="284" t="s">
        <v>674</v>
      </c>
      <c r="AE6" s="284" t="s">
        <v>675</v>
      </c>
      <c r="AF6" s="284" t="s">
        <v>675</v>
      </c>
      <c r="AG6" s="284" t="s">
        <v>675</v>
      </c>
      <c r="AH6" s="284" t="s">
        <v>677</v>
      </c>
      <c r="AI6" s="284" t="s">
        <v>684</v>
      </c>
      <c r="AJ6" s="284" t="s">
        <v>682</v>
      </c>
      <c r="AK6" s="284" t="s">
        <v>676</v>
      </c>
      <c r="AL6" s="284" t="s">
        <v>675</v>
      </c>
      <c r="AM6" s="284" t="s">
        <v>678</v>
      </c>
      <c r="AN6" s="284" t="s">
        <v>683</v>
      </c>
      <c r="AO6" s="284" t="s">
        <v>682</v>
      </c>
      <c r="AP6" s="284" t="s">
        <v>679</v>
      </c>
      <c r="AQ6" s="284" t="s">
        <v>676</v>
      </c>
      <c r="AR6" s="285" t="s">
        <v>683</v>
      </c>
    </row>
    <row r="7" spans="1:44" ht="15.75" thickBot="1">
      <c r="A7" s="97" t="s">
        <v>644</v>
      </c>
      <c r="B7" s="100" t="s">
        <v>97</v>
      </c>
      <c r="C7" s="27"/>
      <c r="D7" s="284" t="s">
        <v>689</v>
      </c>
      <c r="E7" s="284"/>
      <c r="F7" s="284"/>
      <c r="G7" s="284"/>
      <c r="H7" s="284" t="s">
        <v>670</v>
      </c>
      <c r="I7" s="284" t="s">
        <v>670</v>
      </c>
      <c r="J7" s="284" t="s">
        <v>668</v>
      </c>
      <c r="K7" s="284"/>
      <c r="L7" s="284"/>
      <c r="M7" s="284" t="s">
        <v>669</v>
      </c>
      <c r="N7" s="284" t="s">
        <v>666</v>
      </c>
      <c r="O7" s="284" t="s">
        <v>663</v>
      </c>
      <c r="P7" s="284" t="s">
        <v>667</v>
      </c>
      <c r="Q7" s="284" t="s">
        <v>664</v>
      </c>
      <c r="R7" s="284" t="s">
        <v>665</v>
      </c>
      <c r="S7" s="284"/>
      <c r="T7" s="284"/>
      <c r="U7" s="284" t="s">
        <v>736</v>
      </c>
      <c r="V7" s="284" t="s">
        <v>667</v>
      </c>
      <c r="W7" s="284" t="s">
        <v>736</v>
      </c>
      <c r="X7" s="284" t="s">
        <v>672</v>
      </c>
      <c r="Y7" s="284" t="s">
        <v>667</v>
      </c>
      <c r="Z7" s="284"/>
      <c r="AA7" s="284"/>
      <c r="AB7" s="284" t="s">
        <v>663</v>
      </c>
      <c r="AC7" s="284"/>
      <c r="AD7" s="284" t="s">
        <v>689</v>
      </c>
      <c r="AE7" s="284"/>
      <c r="AF7" s="284" t="s">
        <v>673</v>
      </c>
      <c r="AG7" s="284"/>
      <c r="AH7" s="284" t="s">
        <v>736</v>
      </c>
      <c r="AI7" s="284" t="s">
        <v>667</v>
      </c>
      <c r="AJ7" s="284" t="s">
        <v>669</v>
      </c>
      <c r="AK7" s="284" t="s">
        <v>664</v>
      </c>
      <c r="AL7" s="284" t="s">
        <v>689</v>
      </c>
      <c r="AM7" s="284" t="s">
        <v>736</v>
      </c>
      <c r="AN7" s="284" t="s">
        <v>669</v>
      </c>
      <c r="AO7" s="284" t="s">
        <v>666</v>
      </c>
      <c r="AP7" s="284" t="s">
        <v>673</v>
      </c>
      <c r="AQ7" s="284" t="s">
        <v>663</v>
      </c>
      <c r="AR7" s="285" t="s">
        <v>662</v>
      </c>
    </row>
    <row r="8" spans="1:44" ht="15.75" thickBot="1">
      <c r="A8" s="97" t="s">
        <v>644</v>
      </c>
      <c r="B8" s="100" t="s">
        <v>97</v>
      </c>
      <c r="C8" s="27"/>
      <c r="D8" s="284"/>
      <c r="E8" s="284"/>
      <c r="F8" s="284"/>
      <c r="G8" s="284"/>
      <c r="H8" s="284"/>
      <c r="I8" s="284"/>
      <c r="J8" s="284" t="s">
        <v>669</v>
      </c>
      <c r="K8" s="284"/>
      <c r="L8" s="284"/>
      <c r="M8" s="284" t="s">
        <v>671</v>
      </c>
      <c r="N8" s="284" t="s">
        <v>689</v>
      </c>
      <c r="O8" s="284" t="s">
        <v>664</v>
      </c>
      <c r="P8" s="284"/>
      <c r="Q8" s="284" t="s">
        <v>689</v>
      </c>
      <c r="R8" s="284" t="s">
        <v>689</v>
      </c>
      <c r="S8" s="284"/>
      <c r="T8" s="284"/>
      <c r="U8" s="284" t="s">
        <v>669</v>
      </c>
      <c r="V8" s="284"/>
      <c r="W8" s="284" t="s">
        <v>669</v>
      </c>
      <c r="X8" s="284" t="s">
        <v>673</v>
      </c>
      <c r="Y8" s="284" t="s">
        <v>673</v>
      </c>
      <c r="Z8" s="284"/>
      <c r="AA8" s="284"/>
      <c r="AB8" s="284"/>
      <c r="AC8" s="284"/>
      <c r="AD8" s="284"/>
      <c r="AE8" s="284"/>
      <c r="AF8" s="284"/>
      <c r="AG8" s="284"/>
      <c r="AH8" s="284" t="s">
        <v>669</v>
      </c>
      <c r="AI8" s="284"/>
      <c r="AJ8" s="284" t="s">
        <v>671</v>
      </c>
      <c r="AK8" s="284" t="s">
        <v>665</v>
      </c>
      <c r="AL8" s="284"/>
      <c r="AM8" s="284" t="s">
        <v>669</v>
      </c>
      <c r="AN8" s="284" t="s">
        <v>671</v>
      </c>
      <c r="AO8" s="284" t="s">
        <v>689</v>
      </c>
      <c r="AP8" s="284"/>
      <c r="AQ8" s="284" t="s">
        <v>664</v>
      </c>
      <c r="AR8" s="285"/>
    </row>
    <row r="9" spans="1:44" ht="15.75" thickBot="1">
      <c r="A9" s="97" t="s">
        <v>644</v>
      </c>
      <c r="B9" s="100" t="s">
        <v>97</v>
      </c>
      <c r="C9" s="27"/>
      <c r="D9" s="284"/>
      <c r="E9" s="284"/>
      <c r="F9" s="284"/>
      <c r="G9" s="284"/>
      <c r="H9" s="284"/>
      <c r="I9" s="284"/>
      <c r="J9" s="284"/>
      <c r="K9" s="284"/>
      <c r="L9" s="284"/>
      <c r="M9" s="284"/>
      <c r="N9" s="284"/>
      <c r="O9" s="284"/>
      <c r="P9" s="284"/>
      <c r="Q9" s="284"/>
      <c r="R9" s="284"/>
      <c r="S9" s="284"/>
      <c r="T9" s="284"/>
      <c r="U9" s="284" t="s">
        <v>673</v>
      </c>
      <c r="V9" s="284"/>
      <c r="W9" s="284"/>
      <c r="X9" s="284"/>
      <c r="Y9" s="284"/>
      <c r="Z9" s="284"/>
      <c r="AA9" s="284"/>
      <c r="AB9" s="284"/>
      <c r="AC9" s="284"/>
      <c r="AD9" s="284"/>
      <c r="AE9" s="284"/>
      <c r="AF9" s="284"/>
      <c r="AG9" s="284"/>
      <c r="AH9" s="284" t="s">
        <v>673</v>
      </c>
      <c r="AI9" s="284"/>
      <c r="AJ9" s="284"/>
      <c r="AK9" s="284"/>
      <c r="AL9" s="284"/>
      <c r="AM9" s="284"/>
      <c r="AN9" s="284"/>
      <c r="AO9" s="284"/>
      <c r="AP9" s="284"/>
      <c r="AQ9" s="284" t="s">
        <v>665</v>
      </c>
      <c r="AR9" s="285"/>
    </row>
    <row r="10" spans="1:44" ht="15.75" thickBot="1">
      <c r="A10" s="97" t="s">
        <v>690</v>
      </c>
      <c r="B10" s="100" t="s">
        <v>97</v>
      </c>
      <c r="C10" s="12" t="str">
        <f t="shared" ref="C10:AR10" si="0">IF(C7=""," ",IF(C8="",C7,IF(C9="",CONCATENATE(C7&amp;", "&amp;C8),CONCATENATE(C7&amp;", "&amp;C8&amp;", "&amp;C9))))</f>
        <v xml:space="preserve"> </v>
      </c>
      <c r="D10" s="137" t="str">
        <f t="shared" si="0"/>
        <v>Spéciale</v>
      </c>
      <c r="E10" s="137" t="str">
        <f t="shared" si="0"/>
        <v xml:space="preserve"> </v>
      </c>
      <c r="F10" s="137" t="str">
        <f t="shared" si="0"/>
        <v xml:space="preserve"> </v>
      </c>
      <c r="G10" s="137" t="str">
        <f t="shared" si="0"/>
        <v xml:space="preserve"> </v>
      </c>
      <c r="H10" s="137" t="str">
        <f t="shared" si="0"/>
        <v>Perforante</v>
      </c>
      <c r="I10" s="137" t="str">
        <f t="shared" si="0"/>
        <v>Perforante</v>
      </c>
      <c r="J10" s="137" t="str">
        <f t="shared" si="0"/>
        <v>Lente, Percutante</v>
      </c>
      <c r="K10" s="137" t="str">
        <f t="shared" si="0"/>
        <v xml:space="preserve"> </v>
      </c>
      <c r="L10" s="137" t="str">
        <f t="shared" si="0"/>
        <v xml:space="preserve"> </v>
      </c>
      <c r="M10" s="137" t="str">
        <f t="shared" si="0"/>
        <v>Percutante, Peu fiable</v>
      </c>
      <c r="N10" s="137" t="str">
        <f t="shared" si="0"/>
        <v>Expérimentale, Spéciale</v>
      </c>
      <c r="O10" s="137" t="str">
        <f t="shared" si="0"/>
        <v>Assomante, Défensive</v>
      </c>
      <c r="P10" s="137" t="str">
        <f t="shared" si="0"/>
        <v>Immobilisante</v>
      </c>
      <c r="Q10" s="137" t="str">
        <f t="shared" si="0"/>
        <v>Défensive, Spéciale</v>
      </c>
      <c r="R10" s="137" t="str">
        <f t="shared" si="0"/>
        <v>Equilibrée, Spéciale</v>
      </c>
      <c r="S10" s="137" t="str">
        <f t="shared" si="0"/>
        <v xml:space="preserve"> </v>
      </c>
      <c r="T10" s="137" t="str">
        <f t="shared" si="0"/>
        <v xml:space="preserve"> </v>
      </c>
      <c r="U10" s="137" t="str">
        <f t="shared" si="0"/>
        <v>Epuisante, Percutante, Rapide</v>
      </c>
      <c r="V10" s="137" t="str">
        <f t="shared" si="0"/>
        <v>Immobilisante</v>
      </c>
      <c r="W10" s="137" t="str">
        <f t="shared" si="0"/>
        <v>Epuisante, Percutante</v>
      </c>
      <c r="X10" s="137" t="str">
        <f t="shared" si="0"/>
        <v>Précise, Rapide</v>
      </c>
      <c r="Y10" s="137" t="str">
        <f t="shared" si="0"/>
        <v>Immobilisante, Rapide</v>
      </c>
      <c r="Z10" s="137" t="str">
        <f t="shared" si="0"/>
        <v xml:space="preserve"> </v>
      </c>
      <c r="AA10" s="137" t="str">
        <f t="shared" si="0"/>
        <v xml:space="preserve"> </v>
      </c>
      <c r="AB10" s="137" t="str">
        <f t="shared" si="0"/>
        <v>Assomante</v>
      </c>
      <c r="AC10" s="137" t="str">
        <f t="shared" si="0"/>
        <v xml:space="preserve"> </v>
      </c>
      <c r="AD10" s="137" t="str">
        <f t="shared" si="0"/>
        <v>Spéciale</v>
      </c>
      <c r="AE10" s="137" t="str">
        <f t="shared" si="0"/>
        <v xml:space="preserve"> </v>
      </c>
      <c r="AF10" s="137" t="str">
        <f t="shared" si="0"/>
        <v>Rapide</v>
      </c>
      <c r="AG10" s="137" t="str">
        <f t="shared" si="0"/>
        <v xml:space="preserve"> </v>
      </c>
      <c r="AH10" s="137" t="str">
        <f t="shared" si="0"/>
        <v>Epuisante, Percutante, Rapide</v>
      </c>
      <c r="AI10" s="137" t="str">
        <f t="shared" si="0"/>
        <v>Immobilisante</v>
      </c>
      <c r="AJ10" s="137" t="str">
        <f t="shared" si="0"/>
        <v>Percutante, Peu fiable</v>
      </c>
      <c r="AK10" s="137" t="str">
        <f t="shared" si="0"/>
        <v>Défensive, Equilibrée</v>
      </c>
      <c r="AL10" s="137" t="str">
        <f t="shared" si="0"/>
        <v>Spéciale</v>
      </c>
      <c r="AM10" s="137" t="str">
        <f t="shared" si="0"/>
        <v>Epuisante, Percutante</v>
      </c>
      <c r="AN10" s="137" t="str">
        <f t="shared" si="0"/>
        <v>Percutante, Peu fiable</v>
      </c>
      <c r="AO10" s="137" t="str">
        <f t="shared" si="0"/>
        <v>Expérimentale, Spéciale</v>
      </c>
      <c r="AP10" s="137" t="str">
        <f t="shared" si="0"/>
        <v>Rapide</v>
      </c>
      <c r="AQ10" s="137" t="str">
        <f t="shared" si="0"/>
        <v>Assomante, Défensive, Equilibrée</v>
      </c>
      <c r="AR10" s="13" t="str">
        <f t="shared" si="0"/>
        <v>A mitraille</v>
      </c>
    </row>
    <row r="11" spans="1:44" ht="15.75" thickBot="1">
      <c r="A11" s="99" t="s">
        <v>692</v>
      </c>
      <c r="B11" s="100" t="s">
        <v>97</v>
      </c>
      <c r="C11" s="318" t="s">
        <v>696</v>
      </c>
      <c r="D11" s="298" t="s">
        <v>699</v>
      </c>
      <c r="E11" s="298" t="s">
        <v>698</v>
      </c>
      <c r="F11" s="298" t="s">
        <v>695</v>
      </c>
      <c r="G11" s="298" t="s">
        <v>695</v>
      </c>
      <c r="H11" s="298" t="s">
        <v>699</v>
      </c>
      <c r="I11" s="298" t="s">
        <v>696</v>
      </c>
      <c r="J11" s="286" t="s">
        <v>696</v>
      </c>
      <c r="K11" s="286" t="s">
        <v>695</v>
      </c>
      <c r="L11" s="286"/>
      <c r="M11" s="298" t="s">
        <v>699</v>
      </c>
      <c r="N11" s="298" t="s">
        <v>699</v>
      </c>
      <c r="O11" s="286" t="s">
        <v>694</v>
      </c>
      <c r="P11" s="298" t="s">
        <v>697</v>
      </c>
      <c r="Q11" s="298" t="s">
        <v>695</v>
      </c>
      <c r="R11" s="298" t="s">
        <v>697</v>
      </c>
      <c r="S11" s="298" t="s">
        <v>695</v>
      </c>
      <c r="T11" s="298" t="s">
        <v>695</v>
      </c>
      <c r="U11" s="298" t="s">
        <v>697</v>
      </c>
      <c r="V11" s="298" t="s">
        <v>694</v>
      </c>
      <c r="W11" s="298" t="s">
        <v>697</v>
      </c>
      <c r="X11" s="298" t="s">
        <v>698</v>
      </c>
      <c r="Y11" s="298" t="s">
        <v>696</v>
      </c>
      <c r="Z11" s="298" t="s">
        <v>695</v>
      </c>
      <c r="AA11" s="298" t="s">
        <v>698</v>
      </c>
      <c r="AB11" s="298" t="s">
        <v>695</v>
      </c>
      <c r="AC11" s="298" t="s">
        <v>696</v>
      </c>
      <c r="AD11" s="298" t="s">
        <v>695</v>
      </c>
      <c r="AE11" s="286" t="s">
        <v>696</v>
      </c>
      <c r="AF11" s="298" t="s">
        <v>695</v>
      </c>
      <c r="AG11" s="286" t="s">
        <v>695</v>
      </c>
      <c r="AH11" s="298" t="s">
        <v>698</v>
      </c>
      <c r="AI11" s="286" t="s">
        <v>694</v>
      </c>
      <c r="AJ11" s="286" t="s">
        <v>699</v>
      </c>
      <c r="AK11" s="298" t="s">
        <v>697</v>
      </c>
      <c r="AL11" s="298"/>
      <c r="AM11" s="298" t="s">
        <v>697</v>
      </c>
      <c r="AN11" s="286" t="s">
        <v>699</v>
      </c>
      <c r="AO11" s="286" t="s">
        <v>699</v>
      </c>
      <c r="AP11" s="298" t="s">
        <v>697</v>
      </c>
      <c r="AQ11" s="298" t="s">
        <v>696</v>
      </c>
      <c r="AR11" s="287" t="s">
        <v>699</v>
      </c>
    </row>
    <row r="12" spans="1:44" ht="15.75" thickBot="1">
      <c r="A12" s="101" t="s">
        <v>84</v>
      </c>
      <c r="B12" s="84" t="s">
        <v>97</v>
      </c>
      <c r="C12" s="104"/>
      <c r="D12" s="232"/>
      <c r="E12" s="232"/>
      <c r="F12" s="232" t="s">
        <v>738</v>
      </c>
      <c r="G12" s="232" t="s">
        <v>738</v>
      </c>
      <c r="H12" s="232" t="s">
        <v>738</v>
      </c>
      <c r="I12" s="232" t="s">
        <v>738</v>
      </c>
      <c r="J12" s="319" t="s">
        <v>739</v>
      </c>
      <c r="K12" s="232" t="s">
        <v>739</v>
      </c>
      <c r="L12" s="232" t="s">
        <v>739</v>
      </c>
      <c r="M12" s="232"/>
      <c r="N12" s="232"/>
      <c r="O12" s="319" t="s">
        <v>739</v>
      </c>
      <c r="P12" s="232"/>
      <c r="Q12" s="319" t="s">
        <v>739</v>
      </c>
      <c r="R12" s="319" t="s">
        <v>739</v>
      </c>
      <c r="S12" s="80" t="s">
        <v>739</v>
      </c>
      <c r="T12" s="319" t="s">
        <v>738</v>
      </c>
      <c r="U12" s="319" t="s">
        <v>739</v>
      </c>
      <c r="V12" s="232"/>
      <c r="W12" s="319" t="s">
        <v>739</v>
      </c>
      <c r="X12" s="319" t="s">
        <v>739</v>
      </c>
      <c r="Y12" s="319" t="s">
        <v>739</v>
      </c>
      <c r="Z12" s="319" t="s">
        <v>738</v>
      </c>
      <c r="AA12" s="319" t="s">
        <v>738</v>
      </c>
      <c r="AB12" s="319" t="s">
        <v>739</v>
      </c>
      <c r="AC12" s="319" t="s">
        <v>738</v>
      </c>
      <c r="AD12" s="319" t="s">
        <v>739</v>
      </c>
      <c r="AE12" s="319" t="s">
        <v>738</v>
      </c>
      <c r="AF12" s="319" t="s">
        <v>739</v>
      </c>
      <c r="AG12" s="319" t="s">
        <v>738</v>
      </c>
      <c r="AH12" s="319" t="s">
        <v>739</v>
      </c>
      <c r="AI12" s="232"/>
      <c r="AJ12" s="232"/>
      <c r="AK12" s="319" t="s">
        <v>739</v>
      </c>
      <c r="AL12" s="319" t="s">
        <v>739</v>
      </c>
      <c r="AM12" s="319" t="s">
        <v>739</v>
      </c>
      <c r="AN12" s="232"/>
      <c r="AO12" s="232"/>
      <c r="AP12" s="319" t="s">
        <v>739</v>
      </c>
      <c r="AQ12" s="319" t="s">
        <v>739</v>
      </c>
      <c r="AR12" s="92"/>
    </row>
  </sheetData>
  <dataValidations count="3">
    <dataValidation type="list" allowBlank="1" showInputMessage="1" showErrorMessage="1" sqref="A11:AR11">
      <formula1>Disponibilité</formula1>
    </dataValidation>
    <dataValidation type="list" allowBlank="1" showInputMessage="1" showErrorMessage="1" sqref="A7:AR9">
      <formula1>ArmeAttribut</formula1>
    </dataValidation>
    <dataValidation type="list" allowBlank="1" showInputMessage="1" showErrorMessage="1" sqref="A6:AR6">
      <formula1>ArmeGroupe</formula1>
    </dataValidation>
  </dataValidations>
  <pageMargins left="0.7" right="0.7" top="0.75" bottom="0.75" header="0.3" footer="0.3"/>
  <ignoredErrors>
    <ignoredError sqref="AN4:AO4 E4 P4 AE4" twoDigitTextYear="1"/>
    <ignoredError sqref="AE3" formula="1"/>
  </ignoredErrors>
</worksheet>
</file>

<file path=xl/worksheets/sheet8.xml><?xml version="1.0" encoding="utf-8"?>
<worksheet xmlns="http://schemas.openxmlformats.org/spreadsheetml/2006/main" xmlns:r="http://schemas.openxmlformats.org/officeDocument/2006/relationships">
  <dimension ref="A1:H116"/>
  <sheetViews>
    <sheetView workbookViewId="0">
      <selection activeCell="B5" sqref="B5:H26"/>
    </sheetView>
  </sheetViews>
  <sheetFormatPr baseColWidth="10" defaultColWidth="9.140625" defaultRowHeight="15"/>
  <cols>
    <col min="1" max="1" width="50.42578125" bestFit="1" customWidth="1"/>
    <col min="2" max="2" width="26.5703125" customWidth="1"/>
    <col min="7" max="7" width="44" bestFit="1" customWidth="1"/>
    <col min="8" max="8" width="26.28515625" customWidth="1"/>
  </cols>
  <sheetData>
    <row r="1" spans="1:8" ht="15.75" thickBot="1"/>
    <row r="2" spans="1:8">
      <c r="A2" s="278" t="s">
        <v>586</v>
      </c>
      <c r="B2" s="21">
        <f t="shared" ref="B2:B33" si="0">COUNTIF(Global,A2)</f>
        <v>8</v>
      </c>
      <c r="G2" s="280" t="s">
        <v>632</v>
      </c>
      <c r="H2" s="21">
        <f t="shared" ref="H2:H33" si="1">COUNTIF(Global,G2)</f>
        <v>1</v>
      </c>
    </row>
    <row r="3" spans="1:8">
      <c r="A3" s="256" t="s">
        <v>587</v>
      </c>
      <c r="B3" s="22">
        <f t="shared" si="0"/>
        <v>6</v>
      </c>
      <c r="G3" s="256" t="s">
        <v>93</v>
      </c>
      <c r="H3" s="22">
        <f t="shared" si="1"/>
        <v>2</v>
      </c>
    </row>
    <row r="4" spans="1:8">
      <c r="A4" s="256" t="s">
        <v>588</v>
      </c>
      <c r="B4" s="22">
        <f t="shared" si="0"/>
        <v>10</v>
      </c>
      <c r="G4" s="256" t="s">
        <v>628</v>
      </c>
      <c r="H4" s="22">
        <f t="shared" si="1"/>
        <v>0</v>
      </c>
    </row>
    <row r="5" spans="1:8">
      <c r="A5" s="256" t="s">
        <v>532</v>
      </c>
      <c r="B5" s="22">
        <f t="shared" si="0"/>
        <v>10</v>
      </c>
      <c r="G5" s="256" t="s">
        <v>94</v>
      </c>
      <c r="H5" s="22">
        <f t="shared" si="1"/>
        <v>9</v>
      </c>
    </row>
    <row r="6" spans="1:8">
      <c r="A6" s="256" t="s">
        <v>533</v>
      </c>
      <c r="B6" s="22">
        <f t="shared" si="0"/>
        <v>6</v>
      </c>
      <c r="G6" s="256" t="s">
        <v>629</v>
      </c>
      <c r="H6" s="22">
        <f t="shared" si="1"/>
        <v>2</v>
      </c>
    </row>
    <row r="7" spans="1:8">
      <c r="A7" s="256" t="s">
        <v>462</v>
      </c>
      <c r="B7" s="22">
        <f t="shared" si="0"/>
        <v>8</v>
      </c>
      <c r="G7" s="256" t="s">
        <v>95</v>
      </c>
      <c r="H7" s="22">
        <f t="shared" si="1"/>
        <v>6</v>
      </c>
    </row>
    <row r="8" spans="1:8">
      <c r="A8" s="256" t="s">
        <v>463</v>
      </c>
      <c r="B8" s="22">
        <f>COUNTIF(Global,A8)</f>
        <v>43</v>
      </c>
      <c r="G8" s="256" t="s">
        <v>96</v>
      </c>
      <c r="H8" s="22">
        <f t="shared" si="1"/>
        <v>8</v>
      </c>
    </row>
    <row r="9" spans="1:8">
      <c r="A9" s="256" t="s">
        <v>464</v>
      </c>
      <c r="B9" s="22">
        <f t="shared" si="0"/>
        <v>19</v>
      </c>
      <c r="G9" s="256" t="s">
        <v>483</v>
      </c>
      <c r="H9" s="22">
        <f t="shared" si="1"/>
        <v>3</v>
      </c>
    </row>
    <row r="10" spans="1:8">
      <c r="A10" s="256" t="s">
        <v>826</v>
      </c>
      <c r="B10" s="22">
        <f t="shared" si="0"/>
        <v>66</v>
      </c>
      <c r="G10" s="256" t="s">
        <v>484</v>
      </c>
      <c r="H10" s="22">
        <f t="shared" si="1"/>
        <v>2</v>
      </c>
    </row>
    <row r="11" spans="1:8">
      <c r="A11" s="256" t="s">
        <v>465</v>
      </c>
      <c r="B11" s="22">
        <f t="shared" si="0"/>
        <v>21</v>
      </c>
      <c r="G11" s="256" t="s">
        <v>89</v>
      </c>
      <c r="H11" s="22">
        <f t="shared" si="1"/>
        <v>3</v>
      </c>
    </row>
    <row r="12" spans="1:8">
      <c r="A12" s="256" t="s">
        <v>604</v>
      </c>
      <c r="B12" s="22">
        <f t="shared" si="0"/>
        <v>3</v>
      </c>
      <c r="G12" s="256" t="s">
        <v>485</v>
      </c>
      <c r="H12" s="22">
        <f t="shared" si="1"/>
        <v>2</v>
      </c>
    </row>
    <row r="13" spans="1:8">
      <c r="A13" s="256" t="s">
        <v>773</v>
      </c>
      <c r="B13" s="22">
        <f t="shared" si="0"/>
        <v>2</v>
      </c>
      <c r="G13" s="256" t="s">
        <v>486</v>
      </c>
      <c r="H13" s="22">
        <f t="shared" si="1"/>
        <v>17</v>
      </c>
    </row>
    <row r="14" spans="1:8">
      <c r="A14" s="256" t="s">
        <v>774</v>
      </c>
      <c r="B14" s="22">
        <f t="shared" si="0"/>
        <v>3</v>
      </c>
      <c r="G14" s="256" t="s">
        <v>487</v>
      </c>
      <c r="H14" s="22">
        <f t="shared" si="1"/>
        <v>17</v>
      </c>
    </row>
    <row r="15" spans="1:8">
      <c r="A15" s="256" t="s">
        <v>834</v>
      </c>
      <c r="B15" s="22">
        <f t="shared" si="0"/>
        <v>1</v>
      </c>
      <c r="G15" s="256" t="s">
        <v>92</v>
      </c>
      <c r="H15" s="22">
        <f t="shared" si="1"/>
        <v>7</v>
      </c>
    </row>
    <row r="16" spans="1:8">
      <c r="A16" s="256" t="s">
        <v>578</v>
      </c>
      <c r="B16" s="22">
        <f t="shared" si="0"/>
        <v>7</v>
      </c>
      <c r="G16" s="256" t="s">
        <v>488</v>
      </c>
      <c r="H16" s="22">
        <f t="shared" si="1"/>
        <v>4</v>
      </c>
    </row>
    <row r="17" spans="1:8">
      <c r="A17" s="256" t="s">
        <v>872</v>
      </c>
      <c r="B17" s="22">
        <f t="shared" si="0"/>
        <v>7</v>
      </c>
      <c r="G17" s="256" t="s">
        <v>489</v>
      </c>
      <c r="H17" s="22">
        <f t="shared" si="1"/>
        <v>15</v>
      </c>
    </row>
    <row r="18" spans="1:8">
      <c r="A18" s="256" t="s">
        <v>584</v>
      </c>
      <c r="B18" s="22">
        <f t="shared" si="0"/>
        <v>9</v>
      </c>
      <c r="G18" s="256" t="s">
        <v>527</v>
      </c>
      <c r="H18" s="22">
        <f t="shared" si="1"/>
        <v>13</v>
      </c>
    </row>
    <row r="19" spans="1:8">
      <c r="A19" s="256" t="s">
        <v>866</v>
      </c>
      <c r="B19" s="22">
        <f t="shared" si="0"/>
        <v>1</v>
      </c>
      <c r="G19" s="256" t="s">
        <v>740</v>
      </c>
      <c r="H19" s="22">
        <f t="shared" si="1"/>
        <v>25</v>
      </c>
    </row>
    <row r="20" spans="1:8">
      <c r="A20" s="256" t="s">
        <v>581</v>
      </c>
      <c r="B20" s="22">
        <f t="shared" si="0"/>
        <v>5</v>
      </c>
      <c r="G20" s="256" t="s">
        <v>87</v>
      </c>
      <c r="H20" s="22">
        <f t="shared" si="1"/>
        <v>6</v>
      </c>
    </row>
    <row r="21" spans="1:8">
      <c r="A21" s="256" t="s">
        <v>605</v>
      </c>
      <c r="B21" s="22">
        <f t="shared" si="0"/>
        <v>3</v>
      </c>
      <c r="G21" s="256" t="s">
        <v>490</v>
      </c>
      <c r="H21" s="22">
        <f t="shared" si="1"/>
        <v>12</v>
      </c>
    </row>
    <row r="22" spans="1:8">
      <c r="A22" s="256" t="s">
        <v>582</v>
      </c>
      <c r="B22" s="22">
        <f t="shared" si="0"/>
        <v>2</v>
      </c>
      <c r="G22" s="256" t="s">
        <v>828</v>
      </c>
      <c r="H22" s="22">
        <f t="shared" si="1"/>
        <v>6</v>
      </c>
    </row>
    <row r="23" spans="1:8">
      <c r="A23" s="256" t="s">
        <v>772</v>
      </c>
      <c r="B23" s="22">
        <f t="shared" si="0"/>
        <v>7</v>
      </c>
      <c r="G23" s="256" t="s">
        <v>633</v>
      </c>
      <c r="H23" s="22">
        <f t="shared" si="1"/>
        <v>12</v>
      </c>
    </row>
    <row r="24" spans="1:8">
      <c r="A24" s="256" t="s">
        <v>583</v>
      </c>
      <c r="B24" s="22">
        <f t="shared" si="0"/>
        <v>10</v>
      </c>
      <c r="G24" s="256" t="s">
        <v>492</v>
      </c>
      <c r="H24" s="22">
        <f t="shared" si="1"/>
        <v>16</v>
      </c>
    </row>
    <row r="25" spans="1:8">
      <c r="A25" s="256" t="s">
        <v>560</v>
      </c>
      <c r="B25" s="22">
        <f t="shared" si="0"/>
        <v>0</v>
      </c>
      <c r="G25" s="256" t="s">
        <v>493</v>
      </c>
      <c r="H25" s="22">
        <f t="shared" si="1"/>
        <v>18</v>
      </c>
    </row>
    <row r="26" spans="1:8">
      <c r="A26" s="256" t="s">
        <v>552</v>
      </c>
      <c r="B26" s="22">
        <f t="shared" si="0"/>
        <v>7</v>
      </c>
      <c r="G26" s="256" t="s">
        <v>494</v>
      </c>
      <c r="H26" s="22">
        <f t="shared" si="1"/>
        <v>8</v>
      </c>
    </row>
    <row r="27" spans="1:8">
      <c r="A27" s="256" t="s">
        <v>765</v>
      </c>
      <c r="B27" s="22">
        <f t="shared" si="0"/>
        <v>13</v>
      </c>
      <c r="G27" s="256" t="s">
        <v>495</v>
      </c>
      <c r="H27" s="22">
        <f t="shared" si="1"/>
        <v>1</v>
      </c>
    </row>
    <row r="28" spans="1:8">
      <c r="A28" s="256" t="s">
        <v>553</v>
      </c>
      <c r="B28" s="22">
        <f t="shared" si="0"/>
        <v>0</v>
      </c>
      <c r="G28" s="256" t="s">
        <v>496</v>
      </c>
      <c r="H28" s="22">
        <f t="shared" si="1"/>
        <v>10</v>
      </c>
    </row>
    <row r="29" spans="1:8">
      <c r="A29" s="256" t="s">
        <v>554</v>
      </c>
      <c r="B29" s="22">
        <f t="shared" si="0"/>
        <v>33</v>
      </c>
      <c r="G29" s="256" t="s">
        <v>618</v>
      </c>
      <c r="H29" s="22">
        <f t="shared" si="1"/>
        <v>0</v>
      </c>
    </row>
    <row r="30" spans="1:8">
      <c r="A30" s="256" t="s">
        <v>555</v>
      </c>
      <c r="B30" s="22">
        <f t="shared" si="0"/>
        <v>2</v>
      </c>
      <c r="G30" s="256" t="s">
        <v>497</v>
      </c>
      <c r="H30" s="22">
        <f t="shared" si="1"/>
        <v>17</v>
      </c>
    </row>
    <row r="31" spans="1:8">
      <c r="A31" s="256" t="s">
        <v>609</v>
      </c>
      <c r="B31" s="22">
        <f t="shared" si="0"/>
        <v>0</v>
      </c>
      <c r="G31" s="256" t="s">
        <v>80</v>
      </c>
      <c r="H31" s="22">
        <f t="shared" si="1"/>
        <v>3</v>
      </c>
    </row>
    <row r="32" spans="1:8">
      <c r="A32" s="256" t="s">
        <v>556</v>
      </c>
      <c r="B32" s="22">
        <f t="shared" si="0"/>
        <v>5</v>
      </c>
      <c r="G32" s="256" t="s">
        <v>81</v>
      </c>
      <c r="H32" s="22">
        <f t="shared" si="1"/>
        <v>6</v>
      </c>
    </row>
    <row r="33" spans="1:8">
      <c r="A33" s="256" t="s">
        <v>557</v>
      </c>
      <c r="B33" s="22">
        <f t="shared" si="0"/>
        <v>1</v>
      </c>
      <c r="G33" s="256" t="s">
        <v>616</v>
      </c>
      <c r="H33" s="22">
        <f t="shared" si="1"/>
        <v>0</v>
      </c>
    </row>
    <row r="34" spans="1:8">
      <c r="A34" s="256" t="s">
        <v>558</v>
      </c>
      <c r="B34" s="22">
        <f t="shared" ref="B34:B65" si="2">COUNTIF(Global,A34)</f>
        <v>2</v>
      </c>
      <c r="G34" s="256" t="s">
        <v>630</v>
      </c>
      <c r="H34" s="22">
        <f t="shared" ref="H34:H65" si="3">COUNTIF(Global,G34)</f>
        <v>1</v>
      </c>
    </row>
    <row r="35" spans="1:8">
      <c r="A35" s="256" t="s">
        <v>590</v>
      </c>
      <c r="B35" s="22">
        <f t="shared" si="2"/>
        <v>5</v>
      </c>
      <c r="G35" s="256" t="s">
        <v>811</v>
      </c>
      <c r="H35" s="22">
        <f t="shared" si="3"/>
        <v>3</v>
      </c>
    </row>
    <row r="36" spans="1:8">
      <c r="A36" s="256" t="s">
        <v>559</v>
      </c>
      <c r="B36" s="22">
        <f t="shared" si="2"/>
        <v>8</v>
      </c>
      <c r="G36" s="256" t="s">
        <v>517</v>
      </c>
      <c r="H36" s="22">
        <f t="shared" si="3"/>
        <v>10</v>
      </c>
    </row>
    <row r="37" spans="1:8">
      <c r="A37" s="256" t="s">
        <v>777</v>
      </c>
      <c r="B37" s="22">
        <f t="shared" si="2"/>
        <v>3</v>
      </c>
      <c r="G37" s="256" t="s">
        <v>617</v>
      </c>
      <c r="H37" s="22">
        <f t="shared" si="3"/>
        <v>0</v>
      </c>
    </row>
    <row r="38" spans="1:8">
      <c r="A38" s="256" t="s">
        <v>764</v>
      </c>
      <c r="B38" s="22">
        <f t="shared" si="2"/>
        <v>1</v>
      </c>
      <c r="G38" s="256" t="s">
        <v>518</v>
      </c>
      <c r="H38" s="22">
        <f t="shared" si="3"/>
        <v>6</v>
      </c>
    </row>
    <row r="39" spans="1:8">
      <c r="A39" s="256" t="s">
        <v>603</v>
      </c>
      <c r="B39" s="22">
        <f t="shared" si="2"/>
        <v>5</v>
      </c>
      <c r="G39" s="256" t="s">
        <v>812</v>
      </c>
      <c r="H39" s="22">
        <f t="shared" si="3"/>
        <v>1</v>
      </c>
    </row>
    <row r="40" spans="1:8">
      <c r="A40" s="256" t="s">
        <v>466</v>
      </c>
      <c r="B40" s="22">
        <f t="shared" si="2"/>
        <v>6</v>
      </c>
      <c r="G40" s="256" t="s">
        <v>498</v>
      </c>
      <c r="H40" s="22">
        <f t="shared" si="3"/>
        <v>6</v>
      </c>
    </row>
    <row r="41" spans="1:8">
      <c r="A41" s="256" t="s">
        <v>467</v>
      </c>
      <c r="B41" s="22">
        <f t="shared" si="2"/>
        <v>24</v>
      </c>
      <c r="G41" s="256" t="s">
        <v>499</v>
      </c>
      <c r="H41" s="22">
        <f t="shared" si="3"/>
        <v>6</v>
      </c>
    </row>
    <row r="42" spans="1:8">
      <c r="A42" s="256" t="s">
        <v>468</v>
      </c>
      <c r="B42" s="22">
        <f t="shared" si="2"/>
        <v>21</v>
      </c>
      <c r="G42" s="256" t="s">
        <v>814</v>
      </c>
      <c r="H42" s="22">
        <f t="shared" si="3"/>
        <v>1</v>
      </c>
    </row>
    <row r="43" spans="1:8">
      <c r="A43" s="256" t="s">
        <v>549</v>
      </c>
      <c r="B43" s="22">
        <f t="shared" si="2"/>
        <v>6</v>
      </c>
      <c r="G43" s="256" t="s">
        <v>500</v>
      </c>
      <c r="H43" s="22">
        <f t="shared" si="3"/>
        <v>1</v>
      </c>
    </row>
    <row r="44" spans="1:8">
      <c r="A44" s="256" t="s">
        <v>601</v>
      </c>
      <c r="B44" s="22">
        <f t="shared" si="2"/>
        <v>3</v>
      </c>
      <c r="G44" s="256" t="s">
        <v>501</v>
      </c>
      <c r="H44" s="22">
        <f t="shared" si="3"/>
        <v>1</v>
      </c>
    </row>
    <row r="45" spans="1:8">
      <c r="A45" s="256" t="s">
        <v>469</v>
      </c>
      <c r="B45" s="22">
        <f t="shared" si="2"/>
        <v>33</v>
      </c>
      <c r="G45" s="256" t="s">
        <v>783</v>
      </c>
      <c r="H45" s="22">
        <f t="shared" si="3"/>
        <v>5</v>
      </c>
    </row>
    <row r="46" spans="1:8">
      <c r="A46" s="256" t="s">
        <v>470</v>
      </c>
      <c r="B46" s="22">
        <f t="shared" si="2"/>
        <v>18</v>
      </c>
      <c r="G46" s="256" t="s">
        <v>784</v>
      </c>
      <c r="H46" s="22">
        <f t="shared" si="3"/>
        <v>3</v>
      </c>
    </row>
    <row r="47" spans="1:8">
      <c r="A47" s="256" t="s">
        <v>591</v>
      </c>
      <c r="B47" s="22">
        <f t="shared" si="2"/>
        <v>10</v>
      </c>
      <c r="G47" s="256" t="s">
        <v>79</v>
      </c>
      <c r="H47" s="22">
        <f t="shared" si="3"/>
        <v>6</v>
      </c>
    </row>
    <row r="48" spans="1:8">
      <c r="A48" s="256" t="s">
        <v>548</v>
      </c>
      <c r="B48" s="22">
        <f t="shared" si="2"/>
        <v>41</v>
      </c>
      <c r="G48" s="256" t="s">
        <v>822</v>
      </c>
      <c r="H48" s="22">
        <f t="shared" si="3"/>
        <v>5</v>
      </c>
    </row>
    <row r="49" spans="1:8">
      <c r="A49" s="256" t="s">
        <v>471</v>
      </c>
      <c r="B49" s="22">
        <f t="shared" si="2"/>
        <v>35</v>
      </c>
      <c r="G49" s="256" t="s">
        <v>761</v>
      </c>
      <c r="H49" s="22">
        <f t="shared" si="3"/>
        <v>1</v>
      </c>
    </row>
    <row r="50" spans="1:8">
      <c r="A50" s="256" t="s">
        <v>547</v>
      </c>
      <c r="B50" s="22">
        <f t="shared" si="2"/>
        <v>1</v>
      </c>
      <c r="G50" s="256" t="s">
        <v>624</v>
      </c>
      <c r="H50" s="22">
        <f t="shared" si="3"/>
        <v>8</v>
      </c>
    </row>
    <row r="51" spans="1:8">
      <c r="A51" s="256" t="s">
        <v>595</v>
      </c>
      <c r="B51" s="22">
        <f t="shared" si="2"/>
        <v>2</v>
      </c>
      <c r="G51" s="256" t="s">
        <v>502</v>
      </c>
      <c r="H51" s="22">
        <f t="shared" si="3"/>
        <v>3</v>
      </c>
    </row>
    <row r="52" spans="1:8">
      <c r="A52" s="256" t="s">
        <v>597</v>
      </c>
      <c r="B52" s="22">
        <f t="shared" si="2"/>
        <v>3</v>
      </c>
      <c r="G52" s="256" t="s">
        <v>792</v>
      </c>
      <c r="H52" s="22">
        <f t="shared" si="3"/>
        <v>5</v>
      </c>
    </row>
    <row r="53" spans="1:8">
      <c r="A53" s="256" t="s">
        <v>596</v>
      </c>
      <c r="B53" s="22">
        <f t="shared" si="2"/>
        <v>4</v>
      </c>
      <c r="G53" s="256" t="s">
        <v>503</v>
      </c>
      <c r="H53" s="22">
        <f t="shared" si="3"/>
        <v>9</v>
      </c>
    </row>
    <row r="54" spans="1:8">
      <c r="A54" s="256" t="s">
        <v>598</v>
      </c>
      <c r="B54" s="22">
        <f t="shared" si="2"/>
        <v>1</v>
      </c>
      <c r="G54" s="256" t="s">
        <v>504</v>
      </c>
      <c r="H54" s="22">
        <f t="shared" si="3"/>
        <v>9</v>
      </c>
    </row>
    <row r="55" spans="1:8">
      <c r="A55" s="256" t="s">
        <v>599</v>
      </c>
      <c r="B55" s="22">
        <f t="shared" si="2"/>
        <v>2</v>
      </c>
      <c r="G55" s="256" t="s">
        <v>505</v>
      </c>
      <c r="H55" s="22">
        <f t="shared" si="3"/>
        <v>12</v>
      </c>
    </row>
    <row r="56" spans="1:8">
      <c r="A56" s="256" t="s">
        <v>544</v>
      </c>
      <c r="B56" s="22">
        <f t="shared" si="2"/>
        <v>7</v>
      </c>
      <c r="G56" s="256" t="s">
        <v>869</v>
      </c>
      <c r="H56" s="22">
        <f t="shared" si="3"/>
        <v>1</v>
      </c>
    </row>
    <row r="57" spans="1:8">
      <c r="A57" s="256" t="s">
        <v>543</v>
      </c>
      <c r="B57" s="22">
        <f t="shared" si="2"/>
        <v>8</v>
      </c>
      <c r="G57" s="256" t="s">
        <v>506</v>
      </c>
      <c r="H57" s="22">
        <f t="shared" si="3"/>
        <v>5</v>
      </c>
    </row>
    <row r="58" spans="1:8">
      <c r="A58" s="256" t="s">
        <v>472</v>
      </c>
      <c r="B58" s="22">
        <f t="shared" si="2"/>
        <v>32</v>
      </c>
      <c r="G58" s="256" t="s">
        <v>791</v>
      </c>
      <c r="H58" s="22">
        <f t="shared" si="3"/>
        <v>6</v>
      </c>
    </row>
    <row r="59" spans="1:8">
      <c r="A59" s="256" t="s">
        <v>542</v>
      </c>
      <c r="B59" s="22">
        <f t="shared" si="2"/>
        <v>1</v>
      </c>
      <c r="G59" s="256" t="s">
        <v>507</v>
      </c>
      <c r="H59" s="22">
        <f t="shared" si="3"/>
        <v>3</v>
      </c>
    </row>
    <row r="60" spans="1:8">
      <c r="A60" s="256" t="s">
        <v>473</v>
      </c>
      <c r="B60" s="22">
        <f t="shared" si="2"/>
        <v>35</v>
      </c>
      <c r="G60" s="256" t="s">
        <v>625</v>
      </c>
      <c r="H60" s="22">
        <f t="shared" si="3"/>
        <v>2</v>
      </c>
    </row>
    <row r="61" spans="1:8">
      <c r="A61" s="256" t="s">
        <v>474</v>
      </c>
      <c r="B61" s="22">
        <f t="shared" si="2"/>
        <v>17</v>
      </c>
      <c r="G61" s="256" t="s">
        <v>508</v>
      </c>
      <c r="H61" s="22">
        <f t="shared" si="3"/>
        <v>8</v>
      </c>
    </row>
    <row r="62" spans="1:8">
      <c r="A62" s="256" t="s">
        <v>775</v>
      </c>
      <c r="B62" s="22">
        <f t="shared" si="2"/>
        <v>2</v>
      </c>
      <c r="G62" s="256" t="s">
        <v>785</v>
      </c>
      <c r="H62" s="22">
        <f t="shared" si="3"/>
        <v>5</v>
      </c>
    </row>
    <row r="63" spans="1:8">
      <c r="A63" s="256" t="s">
        <v>776</v>
      </c>
      <c r="B63" s="22">
        <f t="shared" si="2"/>
        <v>2</v>
      </c>
      <c r="G63" s="256" t="s">
        <v>634</v>
      </c>
      <c r="H63" s="22">
        <f t="shared" si="3"/>
        <v>7</v>
      </c>
    </row>
    <row r="64" spans="1:8">
      <c r="A64" s="256" t="s">
        <v>561</v>
      </c>
      <c r="B64" s="22">
        <f t="shared" si="2"/>
        <v>7</v>
      </c>
      <c r="G64" s="256" t="s">
        <v>813</v>
      </c>
      <c r="H64" s="22">
        <f t="shared" si="3"/>
        <v>5</v>
      </c>
    </row>
    <row r="65" spans="1:8">
      <c r="A65" s="256" t="s">
        <v>562</v>
      </c>
      <c r="B65" s="22">
        <f t="shared" si="2"/>
        <v>8</v>
      </c>
      <c r="G65" s="256" t="s">
        <v>766</v>
      </c>
      <c r="H65" s="22">
        <f t="shared" si="3"/>
        <v>10</v>
      </c>
    </row>
    <row r="66" spans="1:8">
      <c r="A66" s="256" t="s">
        <v>563</v>
      </c>
      <c r="B66" s="22">
        <f t="shared" ref="B66:B97" si="4">COUNTIF(Global,A66)</f>
        <v>6</v>
      </c>
      <c r="G66" s="256" t="s">
        <v>782</v>
      </c>
      <c r="H66" s="22">
        <f t="shared" ref="H66:H90" si="5">COUNTIF(Global,G66)</f>
        <v>4</v>
      </c>
    </row>
    <row r="67" spans="1:8">
      <c r="A67" s="256" t="s">
        <v>589</v>
      </c>
      <c r="B67" s="22">
        <f t="shared" si="4"/>
        <v>4</v>
      </c>
      <c r="G67" s="256" t="s">
        <v>521</v>
      </c>
      <c r="H67" s="22">
        <f t="shared" si="5"/>
        <v>16</v>
      </c>
    </row>
    <row r="68" spans="1:8">
      <c r="A68" s="256" t="s">
        <v>565</v>
      </c>
      <c r="B68" s="22">
        <f t="shared" si="4"/>
        <v>10</v>
      </c>
      <c r="G68" s="256" t="s">
        <v>509</v>
      </c>
      <c r="H68" s="22">
        <f t="shared" si="5"/>
        <v>9</v>
      </c>
    </row>
    <row r="69" spans="1:8">
      <c r="A69" s="256" t="s">
        <v>778</v>
      </c>
      <c r="B69" s="22">
        <f t="shared" si="4"/>
        <v>1</v>
      </c>
      <c r="G69" s="256" t="s">
        <v>619</v>
      </c>
      <c r="H69" s="22">
        <f t="shared" si="5"/>
        <v>0</v>
      </c>
    </row>
    <row r="70" spans="1:8">
      <c r="A70" s="256" t="s">
        <v>779</v>
      </c>
      <c r="B70" s="22">
        <f t="shared" si="4"/>
        <v>5</v>
      </c>
      <c r="G70" s="256" t="s">
        <v>510</v>
      </c>
      <c r="H70" s="22">
        <f t="shared" si="5"/>
        <v>11</v>
      </c>
    </row>
    <row r="71" spans="1:8">
      <c r="A71" s="256" t="s">
        <v>780</v>
      </c>
      <c r="B71" s="22">
        <f t="shared" si="4"/>
        <v>4</v>
      </c>
      <c r="G71" s="256" t="s">
        <v>623</v>
      </c>
      <c r="H71" s="22">
        <f t="shared" si="5"/>
        <v>0</v>
      </c>
    </row>
    <row r="72" spans="1:8">
      <c r="A72" s="256" t="s">
        <v>781</v>
      </c>
      <c r="B72" s="22">
        <f t="shared" si="4"/>
        <v>1</v>
      </c>
      <c r="G72" s="256" t="s">
        <v>511</v>
      </c>
      <c r="H72" s="22">
        <f t="shared" si="5"/>
        <v>8</v>
      </c>
    </row>
    <row r="73" spans="1:8">
      <c r="A73" s="256" t="s">
        <v>566</v>
      </c>
      <c r="B73" s="22">
        <f t="shared" si="4"/>
        <v>21</v>
      </c>
      <c r="G73" s="256" t="s">
        <v>512</v>
      </c>
      <c r="H73" s="22">
        <f t="shared" si="5"/>
        <v>5</v>
      </c>
    </row>
    <row r="74" spans="1:8">
      <c r="A74" s="256" t="s">
        <v>567</v>
      </c>
      <c r="B74" s="22">
        <f t="shared" si="4"/>
        <v>12</v>
      </c>
      <c r="G74" s="256" t="s">
        <v>620</v>
      </c>
      <c r="H74" s="22">
        <f t="shared" si="5"/>
        <v>0</v>
      </c>
    </row>
    <row r="75" spans="1:8">
      <c r="A75" s="256" t="s">
        <v>394</v>
      </c>
      <c r="B75" s="22">
        <f t="shared" si="4"/>
        <v>2</v>
      </c>
      <c r="G75" s="256" t="s">
        <v>513</v>
      </c>
      <c r="H75" s="22">
        <f t="shared" si="5"/>
        <v>4</v>
      </c>
    </row>
    <row r="76" spans="1:8">
      <c r="A76" s="256" t="s">
        <v>568</v>
      </c>
      <c r="B76" s="22">
        <f t="shared" si="4"/>
        <v>5</v>
      </c>
      <c r="G76" s="256" t="s">
        <v>519</v>
      </c>
      <c r="H76" s="22">
        <f t="shared" si="5"/>
        <v>8</v>
      </c>
    </row>
    <row r="77" spans="1:8">
      <c r="A77" s="256" t="s">
        <v>395</v>
      </c>
      <c r="B77" s="22">
        <f t="shared" si="4"/>
        <v>0</v>
      </c>
      <c r="G77" s="256" t="s">
        <v>763</v>
      </c>
      <c r="H77" s="22">
        <f t="shared" si="5"/>
        <v>2</v>
      </c>
    </row>
    <row r="78" spans="1:8">
      <c r="A78" s="256" t="s">
        <v>867</v>
      </c>
      <c r="B78" s="22">
        <f t="shared" si="4"/>
        <v>3</v>
      </c>
      <c r="G78" s="256" t="s">
        <v>631</v>
      </c>
      <c r="H78" s="22">
        <f t="shared" si="5"/>
        <v>0</v>
      </c>
    </row>
    <row r="79" spans="1:8">
      <c r="A79" s="256" t="s">
        <v>570</v>
      </c>
      <c r="B79" s="22">
        <f t="shared" si="4"/>
        <v>11</v>
      </c>
      <c r="G79" s="256" t="s">
        <v>635</v>
      </c>
      <c r="H79" s="22">
        <f t="shared" si="5"/>
        <v>0</v>
      </c>
    </row>
    <row r="80" spans="1:8">
      <c r="A80" s="256" t="s">
        <v>571</v>
      </c>
      <c r="B80" s="22">
        <f t="shared" si="4"/>
        <v>6</v>
      </c>
      <c r="G80" s="256" t="s">
        <v>520</v>
      </c>
      <c r="H80" s="22">
        <f t="shared" si="5"/>
        <v>11</v>
      </c>
    </row>
    <row r="81" spans="1:8">
      <c r="A81" s="256" t="s">
        <v>607</v>
      </c>
      <c r="B81" s="22">
        <f t="shared" si="4"/>
        <v>26</v>
      </c>
      <c r="G81" s="256" t="s">
        <v>88</v>
      </c>
      <c r="H81" s="22">
        <f t="shared" si="5"/>
        <v>6</v>
      </c>
    </row>
    <row r="82" spans="1:8">
      <c r="A82" s="256" t="s">
        <v>585</v>
      </c>
      <c r="B82" s="22">
        <f t="shared" si="4"/>
        <v>18</v>
      </c>
      <c r="G82" s="256" t="s">
        <v>514</v>
      </c>
      <c r="H82" s="22">
        <f t="shared" si="5"/>
        <v>11</v>
      </c>
    </row>
    <row r="83" spans="1:8">
      <c r="A83" s="256" t="s">
        <v>754</v>
      </c>
      <c r="B83" s="22">
        <f t="shared" si="4"/>
        <v>4</v>
      </c>
      <c r="G83" s="256" t="s">
        <v>515</v>
      </c>
      <c r="H83" s="22">
        <f t="shared" si="5"/>
        <v>19</v>
      </c>
    </row>
    <row r="84" spans="1:8">
      <c r="A84" s="256" t="s">
        <v>541</v>
      </c>
      <c r="B84" s="22">
        <f t="shared" si="4"/>
        <v>38</v>
      </c>
      <c r="G84" s="256" t="s">
        <v>863</v>
      </c>
      <c r="H84" s="22">
        <f t="shared" si="5"/>
        <v>1</v>
      </c>
    </row>
    <row r="85" spans="1:8">
      <c r="A85" s="256" t="s">
        <v>475</v>
      </c>
      <c r="B85" s="22">
        <f t="shared" si="4"/>
        <v>32</v>
      </c>
      <c r="G85" s="256" t="s">
        <v>789</v>
      </c>
      <c r="H85" s="22">
        <f t="shared" si="5"/>
        <v>5</v>
      </c>
    </row>
    <row r="86" spans="1:8">
      <c r="A86" s="256" t="s">
        <v>574</v>
      </c>
      <c r="B86" s="22">
        <f t="shared" si="4"/>
        <v>1</v>
      </c>
      <c r="G86" s="256" t="s">
        <v>90</v>
      </c>
      <c r="H86" s="22">
        <f t="shared" si="5"/>
        <v>11</v>
      </c>
    </row>
    <row r="87" spans="1:8">
      <c r="A87" s="256" t="s">
        <v>572</v>
      </c>
      <c r="B87" s="22">
        <f t="shared" si="4"/>
        <v>2</v>
      </c>
      <c r="G87" s="256" t="s">
        <v>91</v>
      </c>
      <c r="H87" s="22">
        <f t="shared" si="5"/>
        <v>7</v>
      </c>
    </row>
    <row r="88" spans="1:8">
      <c r="A88" s="256" t="s">
        <v>862</v>
      </c>
      <c r="B88" s="22">
        <f t="shared" si="4"/>
        <v>1</v>
      </c>
      <c r="G88" s="256" t="s">
        <v>767</v>
      </c>
      <c r="H88" s="22">
        <f t="shared" si="5"/>
        <v>1</v>
      </c>
    </row>
    <row r="89" spans="1:8">
      <c r="A89" s="256" t="s">
        <v>573</v>
      </c>
      <c r="B89" s="22">
        <f t="shared" si="4"/>
        <v>3</v>
      </c>
      <c r="G89" s="256" t="s">
        <v>621</v>
      </c>
      <c r="H89" s="22">
        <f t="shared" si="5"/>
        <v>3</v>
      </c>
    </row>
    <row r="90" spans="1:8" ht="15.75" thickBot="1">
      <c r="A90" s="256" t="s">
        <v>868</v>
      </c>
      <c r="B90" s="22">
        <f t="shared" si="4"/>
        <v>1</v>
      </c>
      <c r="G90" s="279" t="s">
        <v>622</v>
      </c>
      <c r="H90" s="23">
        <f t="shared" si="5"/>
        <v>0</v>
      </c>
    </row>
    <row r="91" spans="1:8">
      <c r="A91" s="256" t="s">
        <v>575</v>
      </c>
      <c r="B91" s="22">
        <f t="shared" si="4"/>
        <v>1</v>
      </c>
    </row>
    <row r="92" spans="1:8">
      <c r="A92" s="256" t="s">
        <v>835</v>
      </c>
      <c r="B92" s="22">
        <f t="shared" si="4"/>
        <v>4</v>
      </c>
    </row>
    <row r="93" spans="1:8">
      <c r="A93" s="256" t="s">
        <v>833</v>
      </c>
      <c r="B93" s="22">
        <f t="shared" si="4"/>
        <v>2</v>
      </c>
    </row>
    <row r="94" spans="1:8">
      <c r="A94" s="256" t="s">
        <v>636</v>
      </c>
      <c r="B94" s="22">
        <f t="shared" si="4"/>
        <v>0</v>
      </c>
    </row>
    <row r="95" spans="1:8">
      <c r="A95" s="256" t="s">
        <v>600</v>
      </c>
      <c r="B95" s="22">
        <f t="shared" si="4"/>
        <v>3</v>
      </c>
    </row>
    <row r="96" spans="1:8">
      <c r="A96" s="256" t="s">
        <v>602</v>
      </c>
      <c r="B96" s="22">
        <f t="shared" si="4"/>
        <v>1</v>
      </c>
    </row>
    <row r="97" spans="1:2">
      <c r="A97" s="256" t="s">
        <v>593</v>
      </c>
      <c r="B97" s="22">
        <f t="shared" si="4"/>
        <v>1</v>
      </c>
    </row>
    <row r="98" spans="1:2">
      <c r="A98" s="256" t="s">
        <v>637</v>
      </c>
      <c r="B98" s="22">
        <f t="shared" ref="B98:B116" si="6">COUNTIF(Global,A98)</f>
        <v>0</v>
      </c>
    </row>
    <row r="99" spans="1:2">
      <c r="A99" s="256" t="s">
        <v>639</v>
      </c>
      <c r="B99" s="22">
        <f t="shared" si="6"/>
        <v>0</v>
      </c>
    </row>
    <row r="100" spans="1:2">
      <c r="A100" s="256" t="s">
        <v>638</v>
      </c>
      <c r="B100" s="22">
        <f t="shared" si="6"/>
        <v>0</v>
      </c>
    </row>
    <row r="101" spans="1:2">
      <c r="A101" s="256" t="s">
        <v>576</v>
      </c>
      <c r="B101" s="22">
        <f t="shared" si="6"/>
        <v>4</v>
      </c>
    </row>
    <row r="102" spans="1:2">
      <c r="A102" s="256" t="s">
        <v>577</v>
      </c>
      <c r="B102" s="22">
        <f t="shared" si="6"/>
        <v>1</v>
      </c>
    </row>
    <row r="103" spans="1:2">
      <c r="A103" s="256" t="s">
        <v>540</v>
      </c>
      <c r="B103" s="22">
        <f t="shared" si="6"/>
        <v>28</v>
      </c>
    </row>
    <row r="104" spans="1:2">
      <c r="A104" s="256" t="s">
        <v>539</v>
      </c>
      <c r="B104" s="22">
        <f t="shared" si="6"/>
        <v>4</v>
      </c>
    </row>
    <row r="105" spans="1:2">
      <c r="A105" s="256" t="s">
        <v>538</v>
      </c>
      <c r="B105" s="22">
        <f t="shared" si="6"/>
        <v>15</v>
      </c>
    </row>
    <row r="106" spans="1:2">
      <c r="A106" s="256" t="s">
        <v>477</v>
      </c>
      <c r="B106" s="22">
        <f t="shared" si="6"/>
        <v>87</v>
      </c>
    </row>
    <row r="107" spans="1:2">
      <c r="A107" s="256" t="s">
        <v>537</v>
      </c>
      <c r="B107" s="22">
        <f t="shared" si="6"/>
        <v>13</v>
      </c>
    </row>
    <row r="108" spans="1:2">
      <c r="A108" s="256" t="s">
        <v>753</v>
      </c>
      <c r="B108" s="22">
        <f t="shared" si="6"/>
        <v>2</v>
      </c>
    </row>
    <row r="109" spans="1:2">
      <c r="A109" s="256" t="s">
        <v>478</v>
      </c>
      <c r="B109" s="22">
        <f t="shared" si="6"/>
        <v>17</v>
      </c>
    </row>
    <row r="110" spans="1:2">
      <c r="A110" s="256" t="s">
        <v>531</v>
      </c>
      <c r="B110" s="22">
        <f t="shared" si="6"/>
        <v>8</v>
      </c>
    </row>
    <row r="111" spans="1:2">
      <c r="A111" s="256" t="s">
        <v>606</v>
      </c>
      <c r="B111" s="22">
        <f t="shared" si="6"/>
        <v>18</v>
      </c>
    </row>
    <row r="112" spans="1:2">
      <c r="A112" s="256" t="s">
        <v>479</v>
      </c>
      <c r="B112" s="22">
        <f t="shared" si="6"/>
        <v>22</v>
      </c>
    </row>
    <row r="113" spans="1:2">
      <c r="A113" s="256" t="s">
        <v>480</v>
      </c>
      <c r="B113" s="22">
        <f t="shared" si="6"/>
        <v>20</v>
      </c>
    </row>
    <row r="114" spans="1:2">
      <c r="A114" s="256" t="s">
        <v>751</v>
      </c>
      <c r="B114" s="22">
        <f t="shared" si="6"/>
        <v>2</v>
      </c>
    </row>
    <row r="115" spans="1:2">
      <c r="A115" s="256" t="s">
        <v>816</v>
      </c>
      <c r="B115" s="22">
        <f t="shared" si="6"/>
        <v>3</v>
      </c>
    </row>
    <row r="116" spans="1:2" ht="15.75" thickBot="1">
      <c r="A116" s="279" t="s">
        <v>752</v>
      </c>
      <c r="B116" s="23">
        <f t="shared" si="6"/>
        <v>0</v>
      </c>
    </row>
  </sheetData>
  <conditionalFormatting sqref="B1:B1048576">
    <cfRule type="colorScale" priority="2">
      <colorScale>
        <cfvo type="min" val="0"/>
        <cfvo type="percentile" val="50"/>
        <cfvo type="max" val="0"/>
        <color rgb="FF63BE7B"/>
        <color rgb="FFFFEB84"/>
        <color rgb="FFF8696B"/>
      </colorScale>
    </cfRule>
  </conditionalFormatting>
  <conditionalFormatting sqref="H1:H1048576">
    <cfRule type="colorScale" priority="1">
      <colorScale>
        <cfvo type="min" val="0"/>
        <cfvo type="percentile" val="50"/>
        <cfvo type="max" val="0"/>
        <color rgb="FF63BE7B"/>
        <color rgb="FFFFEB84"/>
        <color rgb="FFF8696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79</vt:i4>
      </vt:variant>
    </vt:vector>
  </HeadingPairs>
  <TitlesOfParts>
    <vt:vector size="87" baseType="lpstr">
      <vt:lpstr>Presentation</vt:lpstr>
      <vt:lpstr>Fiche de Personnage</vt:lpstr>
      <vt:lpstr>Liste</vt:lpstr>
      <vt:lpstr>Combo</vt:lpstr>
      <vt:lpstr>MISC</vt:lpstr>
      <vt:lpstr>C&amp;T&amp;E</vt:lpstr>
      <vt:lpstr>Armes</vt:lpstr>
      <vt:lpstr>Stat</vt:lpstr>
      <vt:lpstr>Ag</vt:lpstr>
      <vt:lpstr>Arme</vt:lpstr>
      <vt:lpstr>ArmeAttribut</vt:lpstr>
      <vt:lpstr>ArmeC1</vt:lpstr>
      <vt:lpstr>ArmeC2</vt:lpstr>
      <vt:lpstr>ArmeC3</vt:lpstr>
      <vt:lpstr>ArmeGroupe</vt:lpstr>
      <vt:lpstr>ArmureBras</vt:lpstr>
      <vt:lpstr>ArmureCorps</vt:lpstr>
      <vt:lpstr>ArmureJambe</vt:lpstr>
      <vt:lpstr>ArmureTete</vt:lpstr>
      <vt:lpstr>BF</vt:lpstr>
      <vt:lpstr>Carriere1</vt:lpstr>
      <vt:lpstr>Carriere2</vt:lpstr>
      <vt:lpstr>Carriere3</vt:lpstr>
      <vt:lpstr>CarriereAleaElfe</vt:lpstr>
      <vt:lpstr>CarriereAleaHalfling</vt:lpstr>
      <vt:lpstr>CarriereAleaHumain</vt:lpstr>
      <vt:lpstr>CarriereAleaNain</vt:lpstr>
      <vt:lpstr>CarriereBaseElfe</vt:lpstr>
      <vt:lpstr>CarriereBaseHalfling</vt:lpstr>
      <vt:lpstr>CarriereBaseHumain</vt:lpstr>
      <vt:lpstr>CarriereBaseNain</vt:lpstr>
      <vt:lpstr>CC</vt:lpstr>
      <vt:lpstr>CompetenceAvanceBrute</vt:lpstr>
      <vt:lpstr>CompetenceAvanceC0</vt:lpstr>
      <vt:lpstr>CompetenceAvanceC1</vt:lpstr>
      <vt:lpstr>CompetenceAvanceC2</vt:lpstr>
      <vt:lpstr>CompetenceAvanceC3</vt:lpstr>
      <vt:lpstr>CompetenceBaseBrute</vt:lpstr>
      <vt:lpstr>CompetenceBaseC0</vt:lpstr>
      <vt:lpstr>CompetenceBaseC1</vt:lpstr>
      <vt:lpstr>CompetenceBaseC2</vt:lpstr>
      <vt:lpstr>CompetenceBaseC3</vt:lpstr>
      <vt:lpstr>CT</vt:lpstr>
      <vt:lpstr>Disponibilité</vt:lpstr>
      <vt:lpstr>E</vt:lpstr>
      <vt:lpstr>EquipementC0</vt:lpstr>
      <vt:lpstr>EquipementC1</vt:lpstr>
      <vt:lpstr>EquipementC2</vt:lpstr>
      <vt:lpstr>EquipementC3</vt:lpstr>
      <vt:lpstr>EquipementFinal</vt:lpstr>
      <vt:lpstr>Experience</vt:lpstr>
      <vt:lpstr>F</vt:lpstr>
      <vt:lpstr>FD</vt:lpstr>
      <vt:lpstr>FM</vt:lpstr>
      <vt:lpstr>Global</vt:lpstr>
      <vt:lpstr>Int</vt:lpstr>
      <vt:lpstr>IntD</vt:lpstr>
      <vt:lpstr>JetManuel</vt:lpstr>
      <vt:lpstr>ListeCarriere</vt:lpstr>
      <vt:lpstr>ListeCarriereBase</vt:lpstr>
      <vt:lpstr>ListeCompetence</vt:lpstr>
      <vt:lpstr>ListeCompetenceAvance</vt:lpstr>
      <vt:lpstr>ListeCompetenceBase</vt:lpstr>
      <vt:lpstr>ListeCompetenceCarac</vt:lpstr>
      <vt:lpstr>ListeEquipement</vt:lpstr>
      <vt:lpstr>ListeRace</vt:lpstr>
      <vt:lpstr>ListeSexe</vt:lpstr>
      <vt:lpstr>ListeTalent</vt:lpstr>
      <vt:lpstr>ListeTalentHalfling</vt:lpstr>
      <vt:lpstr>ListeTalentHumain</vt:lpstr>
      <vt:lpstr>NbArme</vt:lpstr>
      <vt:lpstr>NbCarriere</vt:lpstr>
      <vt:lpstr>NbCompetenceAvance</vt:lpstr>
      <vt:lpstr>ParcoursC1</vt:lpstr>
      <vt:lpstr>ParcoursC2</vt:lpstr>
      <vt:lpstr>ParcoursC3</vt:lpstr>
      <vt:lpstr>Race</vt:lpstr>
      <vt:lpstr>Sexe</vt:lpstr>
      <vt:lpstr>Soc</vt:lpstr>
      <vt:lpstr>TalentBrute</vt:lpstr>
      <vt:lpstr>TalentC0</vt:lpstr>
      <vt:lpstr>TalentC1</vt:lpstr>
      <vt:lpstr>TalentC2</vt:lpstr>
      <vt:lpstr>TalentC3</vt:lpstr>
      <vt:lpstr>TalentFinal</vt:lpstr>
      <vt:lpstr>'Fiche de Personnage'!Zone_d_impression</vt:lpstr>
      <vt:lpstr>ZoneCarac</vt:lpstr>
    </vt:vector>
  </TitlesOfParts>
  <Company>Capsule Technologie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Romain Roussy</dc:creator>
  <cp:lastModifiedBy>Jérôme Darmont</cp:lastModifiedBy>
  <cp:lastPrinted>2012-09-28T13:46:27Z</cp:lastPrinted>
  <dcterms:created xsi:type="dcterms:W3CDTF">2011-10-11T09:58:27Z</dcterms:created>
  <dcterms:modified xsi:type="dcterms:W3CDTF">2012-11-23T19:57:22Z</dcterms:modified>
</cp:coreProperties>
</file>