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defaultThemeVersion="124226"/>
  <mc:AlternateContent xmlns:mc="http://schemas.openxmlformats.org/markup-compatibility/2006">
    <mc:Choice Requires="x15">
      <x15ac:absPath xmlns:x15ac="http://schemas.microsoft.com/office/spreadsheetml/2010/11/ac" url="D:\Sabrina\Jeux de rôles\Deadlands\"/>
    </mc:Choice>
  </mc:AlternateContent>
  <xr:revisionPtr revIDLastSave="0" documentId="13_ncr:1_{A3D95B7B-2487-42F6-ACFB-62D405BA74DB}" xr6:coauthVersionLast="47" xr6:coauthVersionMax="47" xr10:uidLastSave="{00000000-0000-0000-0000-000000000000}"/>
  <bookViews>
    <workbookView xWindow="-108" yWindow="-108" windowWidth="23256" windowHeight="12456" tabRatio="706" xr2:uid="{00000000-000D-0000-FFFF-FFFF00000000}"/>
  </bookViews>
  <sheets>
    <sheet name="Aide à la création" sheetId="13" r:id="rId1"/>
    <sheet name="Perso Classic" sheetId="1" state="hidden" r:id="rId2"/>
    <sheet name="Magie Classic" sheetId="9" state="hidden" r:id="rId3"/>
    <sheet name="Perso Reloaded" sheetId="14" r:id="rId4"/>
    <sheet name="AtoutsHandicapsMatos" sheetId="6" r:id="rId5"/>
    <sheet name="Combat" sheetId="11" r:id="rId6"/>
    <sheet name="General Store" sheetId="8" state="hidden" r:id="rId7"/>
    <sheet name="Weaponsmith" sheetId="7" state="hidden" r:id="rId8"/>
    <sheet name="Pouvoir Reloaded" sheetId="15" state="hidden" r:id="rId9"/>
    <sheet name="Surnatural" sheetId="10" state="hidden" r:id="rId10"/>
    <sheet name="Atouts" sheetId="4" state="hidden" r:id="rId11"/>
    <sheet name="Handicaps" sheetId="3" state="hidden" r:id="rId12"/>
    <sheet name="Tableaux" sheetId="2" state="hidden" r:id="rId13"/>
    <sheet name="Calc" sheetId="12" state="hidden" r:id="rId14"/>
  </sheets>
  <externalReferences>
    <externalReference r:id="rId15"/>
  </externalReferences>
  <definedNames>
    <definedName name="Accoutgrave">Calc!$U$334</definedName>
    <definedName name="Accoutlégère">Calc!$U$333</definedName>
    <definedName name="acrobate">Calc!$U$7</definedName>
    <definedName name="Ado">Handicaps!$A$135</definedName>
    <definedName name="Age">Tableaux!$V$3:$V$182</definedName>
    <definedName name="agecalc">Calc!$Y$4</definedName>
    <definedName name="Ambidextre">Calc!$U$11</definedName>
    <definedName name="AMS">Calc!$U$32</definedName>
    <definedName name="An_jeu">'Perso Classic'!$M$4</definedName>
    <definedName name="Anahuac">Calc!$U$19</definedName>
    <definedName name="Année">Tableaux!$P$3:$P$43</definedName>
    <definedName name="AnnéeJeu">Calc!$X$4</definedName>
    <definedName name="Aptitudes_Agilité">Tableaux!$BA$2:$BD$2</definedName>
    <definedName name="Aptitudes_Ame">Tableaux!$AU$2:$AW$2</definedName>
    <definedName name="Aptitudes_Astuce">Tableaux!$AQ$2:$AR$2</definedName>
    <definedName name="Aptitudes_Charisme">Tableaux!$AS$2:$AT$2</definedName>
    <definedName name="Aptitudes_Con">Tableaux!$AG$2:$AP$2</definedName>
    <definedName name="Aptitudes_Dextérité">Tableaux!$AX$2:$AZ$2</definedName>
    <definedName name="Aptitudes_Perc">Tableaux!$AE$2:$AF$2</definedName>
    <definedName name="Aptitudes_Rapidité">Tableaux!$BE$2</definedName>
    <definedName name="Arme">Weaponsmith!$A$2:$A$230</definedName>
    <definedName name="ArmeFétiche">Calc!$U$34</definedName>
    <definedName name="Armures">Tableaux!$CC$3:$CC$7</definedName>
    <definedName name="Artillerie">Tableaux!$AE$3:$AE$5</definedName>
    <definedName name="Arts">Tableaux!$AF$3:$AF$5</definedName>
    <definedName name="Arts_Martiaux">Calc!$U$29</definedName>
    <definedName name="Atouts">Atouts!$B$4:$B$334</definedName>
    <definedName name="Aura1">Calc!$U$350</definedName>
    <definedName name="Aura2">Calc!$U$351</definedName>
    <definedName name="Aura3">Calc!$U$352</definedName>
    <definedName name="Aura4">Calc!$U$353</definedName>
    <definedName name="Aura5">Calc!$U$354</definedName>
    <definedName name="Aux_Aguets">Calc!$U$33</definedName>
    <definedName name="Aztèque">Calc!$U$18</definedName>
    <definedName name="Bagarreur">Calc!$U$44</definedName>
    <definedName name="balayage">Calc!$U$46</definedName>
    <definedName name="Baraqué">Calc!$U$48</definedName>
    <definedName name="Belle">Calc!$U$50</definedName>
    <definedName name="Belle_g">Calc!$U$50</definedName>
    <definedName name="Blessures">Tableaux!$F$3:$F$7</definedName>
    <definedName name="Bloc1">Calc!$U$84</definedName>
    <definedName name="Bloc2">Calc!$U$86</definedName>
    <definedName name="Bloc3">Calc!$U$85</definedName>
    <definedName name="Bloc4">Calc!$U$87</definedName>
    <definedName name="Boiteux1">Calc!$U$360</definedName>
    <definedName name="Boiteux2">Calc!$U$361</definedName>
    <definedName name="borgne">Calc!$U$358</definedName>
    <definedName name="Càc">Weaponsmith!$A$16:$A$37</definedName>
    <definedName name="CalcAge">Calc!$Z$2</definedName>
    <definedName name="CalcAllure">Calc!$Z$6</definedName>
    <definedName name="CalcCharisme">Calc!$Y$6</definedName>
    <definedName name="CalcParade">Calc!$AA$6</definedName>
    <definedName name="CalcRésistance">Calc!$AB$6</definedName>
    <definedName name="CalcTrempe">Calc!$AC$6</definedName>
    <definedName name="Can">Weaponsmith!$A$13:$A$15</definedName>
    <definedName name="Carrière">Tableaux!$AH$3:$AH$16</definedName>
    <definedName name="CChi">Calc!$U$65</definedName>
    <definedName name="Ch">'General Store'!$A$2:$A$16</definedName>
    <definedName name="chaman">Calc!$U$20</definedName>
    <definedName name="Chanceux">Calc!$U$319</definedName>
    <definedName name="Charismatique">Calc!$U$59</definedName>
    <definedName name="Charlatan">Calc!$U$58</definedName>
    <definedName name="Cheveux">Tableaux!$U$3:$U$15</definedName>
    <definedName name="Chi">Weaponsmith!$A$2:$A$11</definedName>
    <definedName name="Cmd">Calc!$U$73</definedName>
    <definedName name="Combatdis">Tableaux!$BB$3:$BB$13</definedName>
    <definedName name="CompReloaded">Tableaux!$BJ$3:$BJ$46</definedName>
    <definedName name="Conduire">Tableaux!$BC$3:$BC$5</definedName>
    <definedName name="Connaissances">Tableaux!$AO$3:$AP$14</definedName>
    <definedName name="contra">Calc!$U$78</definedName>
    <definedName name="Corbeau">Calc!$U$102</definedName>
    <definedName name="Coriace">Calc!$U$81</definedName>
    <definedName name="Couleur">Tableaux!$D$3:$D$6</definedName>
    <definedName name="crise1">Calc!$U$372</definedName>
    <definedName name="crise2">Calc!$U$373</definedName>
    <definedName name="Croulant">Handicaps!$A$43</definedName>
    <definedName name="Croulant_Agé__fortement">Handicaps!$A$44</definedName>
    <definedName name="Croulant1">Calc!$U$374</definedName>
    <definedName name="Croulant2">Calc!$U$375</definedName>
    <definedName name="croyant">Calc!$V$25</definedName>
    <definedName name="DàC">Calc!$U$117</definedName>
    <definedName name="Dé_Ag">Tableaux!$Q$3:$Q$8</definedName>
    <definedName name="dé_Forc">Tableaux!$R$3:$R$8</definedName>
    <definedName name="déAgilité">Calc!$Y$2</definedName>
    <definedName name="déAme">Calc!$V$4</definedName>
    <definedName name="déAstuce">'Perso Classic'!$E$21</definedName>
    <definedName name="déCharisme">'Perso Classic'!$E$27</definedName>
    <definedName name="déCombat">Calc!$V$6</definedName>
    <definedName name="déConnaissances">'Perso Classic'!$E$16</definedName>
    <definedName name="déDextérité">'Perso Classic'!$E$36</definedName>
    <definedName name="déForce">Calc!$X$2</definedName>
    <definedName name="Dégainer">Tableaux!$BE$3:$BE$12</definedName>
    <definedName name="Dégen0">Calc!$U$383</definedName>
    <definedName name="Dégen1">Calc!$U$384</definedName>
    <definedName name="Dégen2">Calc!$U$385</definedName>
    <definedName name="Dégen3">Calc!$U$386</definedName>
    <definedName name="Dégen4">Calc!$U$387</definedName>
    <definedName name="Dégen5">Calc!$U$388</definedName>
    <definedName name="déIntellect">'Perso Reloaded'!$E$15</definedName>
    <definedName name="Démence">Tableaux!$BI$2:$BI$17</definedName>
    <definedName name="déPerception">'Perso Classic'!$E$12</definedName>
    <definedName name="Der">Weaponsmith!$A$38:$A$56</definedName>
    <definedName name="Dés">Tableaux!$S$3:$S$10</definedName>
    <definedName name="Détérré">Calc!$U$93</definedName>
    <definedName name="déVigueur">Calc!$W$4</definedName>
    <definedName name="Dextrie">Tableaux!$J$3:$J$5</definedName>
    <definedName name="dmg">Calc!$U$391</definedName>
    <definedName name="dodo">Calc!$U$417</definedName>
    <definedName name="Don_ciel">Tableaux!$BL$3:$BL$32</definedName>
    <definedName name="Don_Div">Surnatural!$B$22:$B$43</definedName>
    <definedName name="Douillet">Calc!$U$397</definedName>
    <definedName name="Dressage">Tableaux!$AS$3:$AS$5</definedName>
    <definedName name="EA">'General Store'!$A$78:$A$83</definedName>
    <definedName name="Ec">'General Store'!$A$38:$A$77</definedName>
    <definedName name="Ecr">'General Store'!$A$28:$A$37</definedName>
    <definedName name="El">'General Store'!$A$17:$A$27</definedName>
    <definedName name="Elèvedoué">Calc!$U$118</definedName>
    <definedName name="Endurci">Calc!$U$121</definedName>
    <definedName name="Enf_Chat">Calc!$U$101</definedName>
    <definedName name="Ep">Weaponsmith!$B$57:$B$72</definedName>
    <definedName name="Equipement">'General Store'!$A$2:$A$569</definedName>
    <definedName name="Equitation">Tableaux!$BH$3:$BH$4</definedName>
    <definedName name="esquive">Calc!$U$134</definedName>
    <definedName name="Ethnie">Tableaux!$AA$3:$AA$15</definedName>
    <definedName name="EthniePerso">Calc!$W$2</definedName>
    <definedName name="étranger">Calc!$U$404</definedName>
    <definedName name="Ex">Weaponsmith!$A$73:$A$82</definedName>
    <definedName name="expert">Calc!$U$139</definedName>
    <definedName name="extraction">Calc!$U$140</definedName>
    <definedName name="extriche">Calc!$U$233</definedName>
    <definedName name="fatigué1">Calc!$U$406</definedName>
    <definedName name="fatigué2">Calc!$U$407</definedName>
    <definedName name="fatigué3">Calc!$U$408</definedName>
    <definedName name="fatigué4">Calc!$U$409</definedName>
    <definedName name="fatigué5">Calc!$U$410</definedName>
    <definedName name="Faveur">Surnatural!$B$2:$B$21</definedName>
    <definedName name="Fec">Calc!$U$155</definedName>
    <definedName name="Ferrailleur">Calc!$U$147</definedName>
    <definedName name="flambeur">Calc!$U$150</definedName>
    <definedName name="florentine">Calc!$U$152</definedName>
    <definedName name="Foi">'Perso Classic'!$G$31</definedName>
    <definedName name="Fpc">Calc!$U$143</definedName>
    <definedName name="frénésie">Calc!$U$157</definedName>
    <definedName name="Fus">Weaponsmith!$A$83:$A$125</definedName>
    <definedName name="Ga">'General Store'!$A$84:$A$109</definedName>
    <definedName name="gamin">Handicaps!$A$136</definedName>
    <definedName name="Gat">Weaponsmith!$A$126:$A$131</definedName>
    <definedName name="GrosTas1">Calc!$U$418</definedName>
    <definedName name="GrosTas2">Calc!$U$419</definedName>
    <definedName name="halloween">Calc!$U$109</definedName>
    <definedName name="Handicaps">Handicaps!$B$2:$B$204</definedName>
    <definedName name="Illumination">Calc!$U$22</definedName>
    <definedName name="Inodore">Calc!$U$184</definedName>
    <definedName name="JDFA">Calc!$U$188</definedName>
    <definedName name="Jeux">Tableaux!$AQ$3:$AQ$35</definedName>
    <definedName name="Jlt">Calc!$U$439</definedName>
    <definedName name="KFSHI">Calc!$U$199</definedName>
    <definedName name="KFSLS">Calc!$U$202</definedName>
    <definedName name="KFSLTS">Calc!$U$203</definedName>
    <definedName name="KFSMR">Calc!$U$201</definedName>
    <definedName name="KFSSA">Calc!$U$200</definedName>
    <definedName name="KFSSC">Calc!$U$204</definedName>
    <definedName name="KFSTC">Calc!$U$205</definedName>
    <definedName name="KFSTT">Calc!$U$206</definedName>
    <definedName name="KFSWC">Calc!$U$207</definedName>
    <definedName name="lambin1">Calc!$U$443</definedName>
    <definedName name="lambin2">Calc!$U$444</definedName>
    <definedName name="lambin3">Calc!$U$445</definedName>
    <definedName name="lambin4">Calc!$U$446</definedName>
    <definedName name="lambin5">Calc!$U$447</definedName>
    <definedName name="lanbin5">Calc!$U$447</definedName>
    <definedName name="Lancer">Tableaux!$AX$3:$AX$10</definedName>
    <definedName name="Langues">Tableaux!$AI$3:$AI$34</definedName>
    <definedName name="Lcup">Calc!$U$440</definedName>
    <definedName name="lldl">Calc!$U$441</definedName>
    <definedName name="Majmin">Tableaux!$BQ$2:$BQ$3</definedName>
    <definedName name="maladie1">Calc!$U$451</definedName>
    <definedName name="maladie2">Calc!$U$452</definedName>
    <definedName name="maladie3">Calc!$U$453</definedName>
    <definedName name="Manie1">Calc!$U$455</definedName>
    <definedName name="Manie2">Calc!$U$456</definedName>
    <definedName name="Manie3">Calc!$U$457</definedName>
    <definedName name="Manitous">Calc!$U$99</definedName>
    <definedName name="mcut">Calc!$U$461</definedName>
    <definedName name="mda">Calc!$U$224</definedName>
    <definedName name="mdal">Calc!$U$225</definedName>
    <definedName name="Mdc">Calc!$U$458</definedName>
    <definedName name="mds">Calc!$U$24</definedName>
    <definedName name="Me">'General Store'!$A$110:$A$131</definedName>
    <definedName name="mécano">Calc!$U$229</definedName>
    <definedName name="Médecine">Tableaux!$AK$3:$AK$11</definedName>
    <definedName name="Menteur">Calc!$U$485</definedName>
    <definedName name="mépris">Calc!$U$462</definedName>
    <definedName name="Métiers">Tableaux!$AL$3:$AL$147</definedName>
    <definedName name="Miracles">Surnatural!$B$44:$B$128</definedName>
    <definedName name="Mo">'General Store'!$A$132:$A$142</definedName>
    <definedName name="Mome1">Calc!$U$464</definedName>
    <definedName name="Mome2">Calc!$U$465</definedName>
    <definedName name="Mun">'General Store'!$A$143:$A$173</definedName>
    <definedName name="Mus">'General Store'!$A$174:$A$185</definedName>
    <definedName name="Nature">Calc!$U$105</definedName>
    <definedName name="Nausée">Calc!$U$467</definedName>
    <definedName name="Nb.Pouvoir.sup">Calc!$W$6</definedName>
    <definedName name="Nb.PP.Sup">Calc!$X$6</definedName>
    <definedName name="Nda">Calc!$U$239</definedName>
    <definedName name="No">'General Store'!$A$186:$A$195</definedName>
    <definedName name="noël">Calc!$U$106</definedName>
    <definedName name="occulte">Calc!$V$23</definedName>
    <definedName name="oeuil">Calc!$U$243</definedName>
    <definedName name="oreille">Calc!$U$245</definedName>
    <definedName name="Ou">'General Store'!$A$196:$A$254</definedName>
    <definedName name="Ours1">Calc!$U$39</definedName>
    <definedName name="Ours2">Calc!$U$40</definedName>
    <definedName name="Ours3">Calc!$U$41</definedName>
    <definedName name="Ours4">Calc!$U$42</definedName>
    <definedName name="Ours5">Calc!$U$43</definedName>
    <definedName name="Paumé">Calc!$U$480</definedName>
    <definedName name="Pda">Weaponsmith!$A$132:$A$154</definedName>
    <definedName name="pdr">Calc!$U$250</definedName>
    <definedName name="Perception">Tableaux!$BF$3:$BF$5</definedName>
    <definedName name="petiriche">Calc!$U$235</definedName>
    <definedName name="Petit">Calc!$U$481</definedName>
    <definedName name="Piedl1">Calc!$U$255</definedName>
    <definedName name="Piedl2">Calc!$U$256</definedName>
    <definedName name="Piedl3">Calc!$U$257</definedName>
    <definedName name="Piedl4">Calc!$U$258</definedName>
    <definedName name="Piedl5">Calc!$U$259</definedName>
    <definedName name="Piedtendre">Calc!$U$483</definedName>
    <definedName name="Poids">Tableaux!$W$3:$W$63</definedName>
    <definedName name="poss1">Calc!#REF!</definedName>
    <definedName name="poss2">Calc!#REF!</definedName>
    <definedName name="poss3">Calc!#REF!</definedName>
    <definedName name="poss4">Calc!$U$263</definedName>
    <definedName name="poss5">Calc!#REF!</definedName>
    <definedName name="Pouvoir_Ki">Surnatural!$B$129:$B$165</definedName>
    <definedName name="PouvoirdeDétérré">Surnatural!#REF!</definedName>
    <definedName name="Pouvoirs">'Pouvoir Reloaded'!$B$2:$B$112</definedName>
    <definedName name="Primes">Calc!$AA$2</definedName>
    <definedName name="Professionnel">Calc!$U$265</definedName>
    <definedName name="Psa">Weaponsmith!$A$155:$A$218</definedName>
    <definedName name="Puant">Calc!$U$488</definedName>
    <definedName name="RaC">Calc!$U$276</definedName>
    <definedName name="Rachitique">Calc!$U$492</definedName>
    <definedName name="Rang">Tableaux!$BS$2:$BS$7</definedName>
    <definedName name="Rda">Calc!$U$270</definedName>
    <definedName name="Re">'General Store'!$A$255:$A$280</definedName>
    <definedName name="Recharge_rapide">Tableaux!$AY$3:$AY$7</definedName>
    <definedName name="Religions">Tableaux!$AC$3:$AC$31</definedName>
    <definedName name="Reliques">Tableaux!$BN$3:$BN$78</definedName>
    <definedName name="réputation">Calc!$U$275</definedName>
    <definedName name="Réseaux">Tableaux!$BG$3:$BG$11</definedName>
    <definedName name="RgPerso">'Perso Reloaded'!$R$14</definedName>
    <definedName name="riche">Calc!$U$236</definedName>
    <definedName name="Rituels">Surnatural!$B$166:$B$181</definedName>
    <definedName name="Rl">'General Store'!$A$281:$A$297</definedName>
    <definedName name="S_Tech">Surnatural!$B$306:$B$337</definedName>
    <definedName name="S_vaudou">Surnatural!$B$341:$B$367</definedName>
    <definedName name="sanguinaire">Calc!$U$506</definedName>
    <definedName name="Science">Tableaux!$AO$3:$AO$14</definedName>
    <definedName name="sciencefolle">Calc!$U$26</definedName>
    <definedName name="Sexe">Tableaux!$T$3:$T$7</definedName>
    <definedName name="SexePerso">'Perso Classic'!$C$6</definedName>
    <definedName name="Sexy">Calc!$U$50</definedName>
    <definedName name="Sexy2">Calc!$U$51</definedName>
    <definedName name="Sho">Weaponsmith!$A$219:$A$223</definedName>
    <definedName name="Signe_Astraux">Tableaux!$X$3:$X$14</definedName>
    <definedName name="Signes">Tableaux!$AB$3:$AB$50</definedName>
    <definedName name="Solide1">Calc!$U$301</definedName>
    <definedName name="Solide2">Calc!$U$298</definedName>
    <definedName name="Solide3">Calc!$U$300</definedName>
    <definedName name="Solide4">Calc!$U$299</definedName>
    <definedName name="Solide5">Calc!$U$302</definedName>
    <definedName name="sommeil">Calc!$U$303</definedName>
    <definedName name="Sorts">Surnatural!$B$182:$B$305</definedName>
    <definedName name="source1">Calc!$U$304</definedName>
    <definedName name="source2">Calc!$U$305</definedName>
    <definedName name="source3">Calc!$U$306</definedName>
    <definedName name="Spectacle">Tableaux!$AT$3:$AT$6</definedName>
    <definedName name="Statut_Marital">Tableaux!$AD$3:$AD$7</definedName>
    <definedName name="Su">'General Store'!$A$298:$A$361</definedName>
    <definedName name="Survie">Tableaux!$AR$3:$AR$9</definedName>
    <definedName name="Syst.">'Aide à la création'!$I$1</definedName>
    <definedName name="Système">Tableaux!$BW$2:$BW$3</definedName>
    <definedName name="Taille">Tableaux!$Z$3:$Z$32</definedName>
    <definedName name="Taille_Calc">'Perso Classic'!$S$53</definedName>
    <definedName name="TElite">Calc!$U$312</definedName>
    <definedName name="Territoires">Tableaux!$AG$4:$AG$196</definedName>
    <definedName name="Tfroide">Calc!$U$311</definedName>
    <definedName name="Tir">Weaponsmith!$A$224:$A$230</definedName>
    <definedName name="Tirer">Tableaux!$AZ$3:$AZ$7</definedName>
    <definedName name="Tré">'General Store'!$A$362:$A$470</definedName>
    <definedName name="trèsriche">Calc!$U$237</definedName>
    <definedName name="Typ_Arm">Tableaux!$M$2:$M$13</definedName>
    <definedName name="Typ_Che">Tableaux!$O$3:$O$9</definedName>
    <definedName name="Typ_Eq">Tableaux!$K$2:$K$19</definedName>
    <definedName name="Typ_pou">Tableaux!$N$3:$N$14</definedName>
    <definedName name="Type_Che">'Magie Classic'!$U$21</definedName>
    <definedName name="TypesAtout">Tableaux!$BR$2:$BR$10</definedName>
    <definedName name="Universalis">Tableaux!$AP$3:$AP$15</definedName>
    <definedName name="Valeur_Cartes">Tableaux!$A$3:$A$16</definedName>
    <definedName name="vaudou">Calc!$U$28</definedName>
    <definedName name="Ve">'General Store'!$A$503:$A$569</definedName>
    <definedName name="Vé">'General Store'!$A$471:$A$502</definedName>
    <definedName name="Ventile">Calc!$U$321</definedName>
    <definedName name="Vérif_Détérré">Calc!$V$2</definedName>
    <definedName name="Vide">[1]Recto!$H$19</definedName>
    <definedName name="Vif">Calc!$U$132</definedName>
    <definedName name="Voix_ap">Calc!$U$210</definedName>
    <definedName name="Voix_ef">Calc!$U$212</definedName>
    <definedName name="Voix_mo">Calc!$U$211</definedName>
    <definedName name="VRAIFAUX">Tableaux!$I$5:$I$6</definedName>
    <definedName name="VWW">Calc!$U$324</definedName>
    <definedName name="Whateley">Calc!$U$292</definedName>
    <definedName name="X">Tableaux!$I$2:$I$3</definedName>
    <definedName name="Yeux">Tableaux!$Y$3:$Y$14</definedName>
    <definedName name="_xlnm.Print_Area" localSheetId="4">AtoutsHandicapsMatos!$A$1:$X$43</definedName>
    <definedName name="_xlnm.Print_Area" localSheetId="1">'Perso Classic'!$A$1:$W$54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6" i="15" l="1"/>
  <c r="D68" i="15"/>
  <c r="B68" i="15" s="1"/>
  <c r="D46" i="15"/>
  <c r="B46" i="15"/>
  <c r="D37" i="15"/>
  <c r="B37" i="15" s="1"/>
  <c r="J31" i="10"/>
  <c r="J40" i="10"/>
  <c r="J30" i="10"/>
  <c r="J42" i="10"/>
  <c r="J28" i="10"/>
  <c r="J27" i="10"/>
  <c r="J26" i="10"/>
  <c r="J25" i="10"/>
  <c r="F26" i="10"/>
  <c r="F43" i="10"/>
  <c r="F33" i="10"/>
  <c r="F36" i="10"/>
  <c r="F40" i="10"/>
  <c r="F28" i="10"/>
  <c r="F23" i="10"/>
  <c r="H23" i="10"/>
  <c r="I43" i="10"/>
  <c r="I42" i="10"/>
  <c r="I24" i="10"/>
  <c r="I41" i="10"/>
  <c r="I40" i="10"/>
  <c r="I39" i="10"/>
  <c r="I38" i="10"/>
  <c r="I37" i="10"/>
  <c r="I36" i="10"/>
  <c r="I22" i="10"/>
  <c r="I35" i="10"/>
  <c r="I34" i="10"/>
  <c r="I33" i="10"/>
  <c r="I32" i="10"/>
  <c r="I31" i="10"/>
  <c r="I30" i="10"/>
  <c r="I29" i="10"/>
  <c r="I28" i="10"/>
  <c r="I26" i="10"/>
  <c r="I25" i="10"/>
  <c r="I23" i="10"/>
  <c r="C22" i="10"/>
  <c r="H38" i="10"/>
  <c r="H41" i="10"/>
  <c r="H36" i="10"/>
  <c r="H31" i="10"/>
  <c r="H30" i="10"/>
  <c r="H29" i="10"/>
  <c r="H24" i="10"/>
  <c r="C1" i="10"/>
  <c r="C39" i="10"/>
  <c r="C34" i="10"/>
  <c r="C33" i="10"/>
  <c r="C28" i="10"/>
  <c r="C40" i="10"/>
  <c r="C37" i="10"/>
  <c r="C35" i="10"/>
  <c r="C36" i="10"/>
  <c r="C32" i="10"/>
  <c r="C27" i="10"/>
  <c r="C26" i="10"/>
  <c r="C25" i="10"/>
  <c r="C24" i="10"/>
  <c r="C38" i="10"/>
  <c r="C31" i="10"/>
  <c r="C30" i="10"/>
  <c r="C29" i="10"/>
  <c r="C43" i="10"/>
  <c r="C42" i="10"/>
  <c r="C41" i="10"/>
  <c r="C23" i="10"/>
  <c r="H22" i="10"/>
  <c r="B241" i="12"/>
  <c r="C241" i="12"/>
  <c r="D241" i="12"/>
  <c r="E241" i="12"/>
  <c r="F241" i="12"/>
  <c r="G241" i="12"/>
  <c r="H241" i="12"/>
  <c r="I241" i="12"/>
  <c r="J241" i="12"/>
  <c r="K241" i="12"/>
  <c r="L241" i="12"/>
  <c r="M241" i="12"/>
  <c r="N241" i="12"/>
  <c r="O241" i="12"/>
  <c r="P241" i="12"/>
  <c r="Q241" i="12"/>
  <c r="R241" i="12"/>
  <c r="S241" i="12"/>
  <c r="B223" i="12"/>
  <c r="C223" i="12"/>
  <c r="D223" i="12"/>
  <c r="E223" i="12"/>
  <c r="F223" i="12"/>
  <c r="G223" i="12"/>
  <c r="H223" i="12"/>
  <c r="I223" i="12"/>
  <c r="J223" i="12"/>
  <c r="K223" i="12"/>
  <c r="L223" i="12"/>
  <c r="M223" i="12"/>
  <c r="N223" i="12"/>
  <c r="O223" i="12"/>
  <c r="P223" i="12"/>
  <c r="Q223" i="12"/>
  <c r="R223" i="12"/>
  <c r="S223" i="12"/>
  <c r="B224" i="12"/>
  <c r="C224" i="12"/>
  <c r="D224" i="12"/>
  <c r="E224" i="12"/>
  <c r="F224" i="12"/>
  <c r="G224" i="12"/>
  <c r="H224" i="12"/>
  <c r="I224" i="12"/>
  <c r="J224" i="12"/>
  <c r="K224" i="12"/>
  <c r="L224" i="12"/>
  <c r="M224" i="12"/>
  <c r="N224" i="12"/>
  <c r="O224" i="12"/>
  <c r="P224" i="12"/>
  <c r="Q224" i="12"/>
  <c r="R224" i="12"/>
  <c r="S224" i="12"/>
  <c r="E226" i="4"/>
  <c r="B92" i="12"/>
  <c r="C92" i="12"/>
  <c r="D92" i="12"/>
  <c r="E92" i="12"/>
  <c r="F92" i="12"/>
  <c r="G92" i="12"/>
  <c r="H92" i="12"/>
  <c r="I92" i="12"/>
  <c r="J92" i="12"/>
  <c r="K92" i="12"/>
  <c r="L92" i="12"/>
  <c r="M92" i="12"/>
  <c r="N92" i="12"/>
  <c r="O92" i="12"/>
  <c r="P92" i="12"/>
  <c r="Q92" i="12"/>
  <c r="R92" i="12"/>
  <c r="S92" i="12"/>
  <c r="B280" i="12"/>
  <c r="C280" i="12"/>
  <c r="D280" i="12"/>
  <c r="E280" i="12"/>
  <c r="F280" i="12"/>
  <c r="G280" i="12"/>
  <c r="H280" i="12"/>
  <c r="I280" i="12"/>
  <c r="J280" i="12"/>
  <c r="K280" i="12"/>
  <c r="L280" i="12"/>
  <c r="M280" i="12"/>
  <c r="N280" i="12"/>
  <c r="O280" i="12"/>
  <c r="P280" i="12"/>
  <c r="Q280" i="12"/>
  <c r="R280" i="12"/>
  <c r="S280" i="12"/>
  <c r="B147" i="12"/>
  <c r="C147" i="12"/>
  <c r="D147" i="12"/>
  <c r="E147" i="12"/>
  <c r="F147" i="12"/>
  <c r="G147" i="12"/>
  <c r="H147" i="12"/>
  <c r="I147" i="12"/>
  <c r="J147" i="12"/>
  <c r="K147" i="12"/>
  <c r="L147" i="12"/>
  <c r="M147" i="12"/>
  <c r="N147" i="12"/>
  <c r="O147" i="12"/>
  <c r="P147" i="12"/>
  <c r="Q147" i="12"/>
  <c r="R147" i="12"/>
  <c r="S147" i="12"/>
  <c r="E96" i="4"/>
  <c r="E284" i="4"/>
  <c r="E183" i="4"/>
  <c r="B180" i="12"/>
  <c r="C180" i="12"/>
  <c r="D180" i="12"/>
  <c r="E180" i="12"/>
  <c r="F180" i="12"/>
  <c r="G180" i="12"/>
  <c r="H180" i="12"/>
  <c r="I180" i="12"/>
  <c r="J180" i="12"/>
  <c r="K180" i="12"/>
  <c r="L180" i="12"/>
  <c r="M180" i="12"/>
  <c r="N180" i="12"/>
  <c r="O180" i="12"/>
  <c r="P180" i="12"/>
  <c r="Q180" i="12"/>
  <c r="R180" i="12"/>
  <c r="S180" i="12"/>
  <c r="B94" i="12"/>
  <c r="C94" i="12"/>
  <c r="D94" i="12"/>
  <c r="E94" i="12"/>
  <c r="F94" i="12"/>
  <c r="G94" i="12"/>
  <c r="H94" i="12"/>
  <c r="I94" i="12"/>
  <c r="J94" i="12"/>
  <c r="K94" i="12"/>
  <c r="L94" i="12"/>
  <c r="M94" i="12"/>
  <c r="N94" i="12"/>
  <c r="O94" i="12"/>
  <c r="P94" i="12"/>
  <c r="Q94" i="12"/>
  <c r="R94" i="12"/>
  <c r="S94" i="12"/>
  <c r="E98" i="4"/>
  <c r="E171" i="4"/>
  <c r="E311" i="4"/>
  <c r="B308" i="12"/>
  <c r="C308" i="12"/>
  <c r="D308" i="12"/>
  <c r="E308" i="12"/>
  <c r="F308" i="12"/>
  <c r="G308" i="12"/>
  <c r="H308" i="12"/>
  <c r="I308" i="12"/>
  <c r="J308" i="12"/>
  <c r="K308" i="12"/>
  <c r="L308" i="12"/>
  <c r="M308" i="12"/>
  <c r="N308" i="12"/>
  <c r="O308" i="12"/>
  <c r="P308" i="12"/>
  <c r="Q308" i="12"/>
  <c r="R308" i="12"/>
  <c r="S308" i="12"/>
  <c r="B331" i="12"/>
  <c r="C331" i="12"/>
  <c r="D331" i="12"/>
  <c r="E331" i="12"/>
  <c r="F331" i="12"/>
  <c r="G331" i="12"/>
  <c r="H331" i="12"/>
  <c r="I331" i="12"/>
  <c r="J331" i="12"/>
  <c r="K331" i="12"/>
  <c r="L331" i="12"/>
  <c r="M331" i="12"/>
  <c r="N331" i="12"/>
  <c r="O331" i="12"/>
  <c r="P331" i="12"/>
  <c r="Q331" i="12"/>
  <c r="R331" i="12"/>
  <c r="S331" i="12"/>
  <c r="E335" i="4"/>
  <c r="B168" i="12"/>
  <c r="C168" i="12"/>
  <c r="D168" i="12"/>
  <c r="E168" i="12"/>
  <c r="F168" i="12"/>
  <c r="G168" i="12"/>
  <c r="H168" i="12"/>
  <c r="I168" i="12"/>
  <c r="J168" i="12"/>
  <c r="K168" i="12"/>
  <c r="L168" i="12"/>
  <c r="M168" i="12"/>
  <c r="N168" i="12"/>
  <c r="O168" i="12"/>
  <c r="P168" i="12"/>
  <c r="Q168" i="12"/>
  <c r="R168" i="12"/>
  <c r="S168" i="12"/>
  <c r="E152" i="4"/>
  <c r="E163" i="4"/>
  <c r="B149" i="12"/>
  <c r="C149" i="12"/>
  <c r="D149" i="12"/>
  <c r="E149" i="12"/>
  <c r="F149" i="12"/>
  <c r="G149" i="12"/>
  <c r="H149" i="12"/>
  <c r="I149" i="12"/>
  <c r="J149" i="12"/>
  <c r="K149" i="12"/>
  <c r="L149" i="12"/>
  <c r="M149" i="12"/>
  <c r="N149" i="12"/>
  <c r="O149" i="12"/>
  <c r="P149" i="12"/>
  <c r="Q149" i="12"/>
  <c r="R149" i="12"/>
  <c r="S149" i="12"/>
  <c r="E24" i="4"/>
  <c r="B183" i="12"/>
  <c r="C183" i="12"/>
  <c r="D183" i="12"/>
  <c r="E183" i="12"/>
  <c r="F183" i="12"/>
  <c r="G183" i="12"/>
  <c r="H183" i="12"/>
  <c r="I183" i="12"/>
  <c r="J183" i="12"/>
  <c r="K183" i="12"/>
  <c r="L183" i="12"/>
  <c r="M183" i="12"/>
  <c r="N183" i="12"/>
  <c r="O183" i="12"/>
  <c r="P183" i="12"/>
  <c r="Q183" i="12"/>
  <c r="R183" i="12"/>
  <c r="S183" i="12"/>
  <c r="E186" i="4"/>
  <c r="B160" i="12"/>
  <c r="C160" i="12"/>
  <c r="D160" i="12"/>
  <c r="E160" i="12"/>
  <c r="F160" i="12"/>
  <c r="G160" i="12"/>
  <c r="H160" i="12"/>
  <c r="I160" i="12"/>
  <c r="J160" i="12"/>
  <c r="K160" i="12"/>
  <c r="L160" i="12"/>
  <c r="M160" i="12"/>
  <c r="N160" i="12"/>
  <c r="O160" i="12"/>
  <c r="P160" i="12"/>
  <c r="Q160" i="12"/>
  <c r="R160" i="12"/>
  <c r="S160" i="12"/>
  <c r="A164" i="4"/>
  <c r="E330" i="4"/>
  <c r="E315" i="4"/>
  <c r="E301" i="4"/>
  <c r="E278" i="4"/>
  <c r="E282" i="4"/>
  <c r="B330" i="12"/>
  <c r="C330" i="12"/>
  <c r="D330" i="12"/>
  <c r="E330" i="12"/>
  <c r="F330" i="12"/>
  <c r="G330" i="12"/>
  <c r="H330" i="12"/>
  <c r="I330" i="12"/>
  <c r="J330" i="12"/>
  <c r="K330" i="12"/>
  <c r="L330" i="12"/>
  <c r="M330" i="12"/>
  <c r="N330" i="12"/>
  <c r="O330" i="12"/>
  <c r="P330" i="12"/>
  <c r="Q330" i="12"/>
  <c r="R330" i="12"/>
  <c r="S330" i="12"/>
  <c r="B310" i="12"/>
  <c r="C310" i="12"/>
  <c r="D310" i="12"/>
  <c r="E310" i="12"/>
  <c r="F310" i="12"/>
  <c r="G310" i="12"/>
  <c r="H310" i="12"/>
  <c r="I310" i="12"/>
  <c r="J310" i="12"/>
  <c r="K310" i="12"/>
  <c r="L310" i="12"/>
  <c r="M310" i="12"/>
  <c r="N310" i="12"/>
  <c r="O310" i="12"/>
  <c r="P310" i="12"/>
  <c r="Q310" i="12"/>
  <c r="R310" i="12"/>
  <c r="S310" i="12"/>
  <c r="B297" i="12"/>
  <c r="C297" i="12"/>
  <c r="D297" i="12"/>
  <c r="E297" i="12"/>
  <c r="F297" i="12"/>
  <c r="G297" i="12"/>
  <c r="H297" i="12"/>
  <c r="I297" i="12"/>
  <c r="J297" i="12"/>
  <c r="K297" i="12"/>
  <c r="L297" i="12"/>
  <c r="M297" i="12"/>
  <c r="N297" i="12"/>
  <c r="O297" i="12"/>
  <c r="P297" i="12"/>
  <c r="Q297" i="12"/>
  <c r="R297" i="12"/>
  <c r="S297" i="12"/>
  <c r="B278" i="12"/>
  <c r="C278" i="12"/>
  <c r="D278" i="12"/>
  <c r="E278" i="12"/>
  <c r="F278" i="12"/>
  <c r="G278" i="12"/>
  <c r="H278" i="12"/>
  <c r="I278" i="12"/>
  <c r="J278" i="12"/>
  <c r="K278" i="12"/>
  <c r="L278" i="12"/>
  <c r="M278" i="12"/>
  <c r="N278" i="12"/>
  <c r="O278" i="12"/>
  <c r="P278" i="12"/>
  <c r="Q278" i="12"/>
  <c r="R278" i="12"/>
  <c r="S278" i="12"/>
  <c r="B274" i="12"/>
  <c r="C274" i="12"/>
  <c r="D274" i="12"/>
  <c r="E274" i="12"/>
  <c r="F274" i="12"/>
  <c r="G274" i="12"/>
  <c r="H274" i="12"/>
  <c r="I274" i="12"/>
  <c r="J274" i="12"/>
  <c r="K274" i="12"/>
  <c r="L274" i="12"/>
  <c r="M274" i="12"/>
  <c r="N274" i="12"/>
  <c r="O274" i="12"/>
  <c r="P274" i="12"/>
  <c r="Q274" i="12"/>
  <c r="R274" i="12"/>
  <c r="S274" i="12"/>
  <c r="B267" i="12"/>
  <c r="C267" i="12"/>
  <c r="D267" i="12"/>
  <c r="E267" i="12"/>
  <c r="F267" i="12"/>
  <c r="G267" i="12"/>
  <c r="H267" i="12"/>
  <c r="I267" i="12"/>
  <c r="J267" i="12"/>
  <c r="K267" i="12"/>
  <c r="L267" i="12"/>
  <c r="M267" i="12"/>
  <c r="N267" i="12"/>
  <c r="O267" i="12"/>
  <c r="P267" i="12"/>
  <c r="Q267" i="12"/>
  <c r="R267" i="12"/>
  <c r="S267" i="12"/>
  <c r="E271" i="4"/>
  <c r="B264" i="12"/>
  <c r="C264" i="12"/>
  <c r="D264" i="12"/>
  <c r="E264" i="12"/>
  <c r="F264" i="12"/>
  <c r="G264" i="12"/>
  <c r="H264" i="12"/>
  <c r="I264" i="12"/>
  <c r="J264" i="12"/>
  <c r="K264" i="12"/>
  <c r="L264" i="12"/>
  <c r="M264" i="12"/>
  <c r="N264" i="12"/>
  <c r="O264" i="12"/>
  <c r="P264" i="12"/>
  <c r="Q264" i="12"/>
  <c r="R264" i="12"/>
  <c r="S264" i="12"/>
  <c r="E268" i="4"/>
  <c r="E267" i="4"/>
  <c r="H224" i="4"/>
  <c r="I224" i="4"/>
  <c r="E224" i="4"/>
  <c r="E123" i="4"/>
  <c r="E148" i="4"/>
  <c r="E175" i="4"/>
  <c r="E184" i="4"/>
  <c r="E221" i="4"/>
  <c r="E231" i="4"/>
  <c r="E230" i="4"/>
  <c r="E318" i="4"/>
  <c r="E217" i="4"/>
  <c r="B228" i="12"/>
  <c r="C228" i="12"/>
  <c r="D228" i="12"/>
  <c r="E228" i="12"/>
  <c r="F228" i="12"/>
  <c r="G228" i="12"/>
  <c r="H228" i="12"/>
  <c r="I228" i="12"/>
  <c r="J228" i="12"/>
  <c r="K228" i="12"/>
  <c r="L228" i="12"/>
  <c r="M228" i="12"/>
  <c r="N228" i="12"/>
  <c r="O228" i="12"/>
  <c r="P228" i="12"/>
  <c r="Q228" i="12"/>
  <c r="R228" i="12"/>
  <c r="S228" i="12"/>
  <c r="A229" i="12"/>
  <c r="B229" i="12" s="1"/>
  <c r="B227" i="12"/>
  <c r="C227" i="12"/>
  <c r="D227" i="12"/>
  <c r="E227" i="12"/>
  <c r="F227" i="12"/>
  <c r="G227" i="12"/>
  <c r="H227" i="12"/>
  <c r="I227" i="12"/>
  <c r="J227" i="12"/>
  <c r="K227" i="12"/>
  <c r="L227" i="12"/>
  <c r="M227" i="12"/>
  <c r="N227" i="12"/>
  <c r="O227" i="12"/>
  <c r="P227" i="12"/>
  <c r="Q227" i="12"/>
  <c r="R227" i="12"/>
  <c r="S227" i="12"/>
  <c r="B221" i="12"/>
  <c r="C221" i="12"/>
  <c r="D221" i="12"/>
  <c r="E221" i="12"/>
  <c r="F221" i="12"/>
  <c r="G221" i="12"/>
  <c r="H221" i="12"/>
  <c r="I221" i="12"/>
  <c r="J221" i="12"/>
  <c r="K221" i="12"/>
  <c r="L221" i="12"/>
  <c r="M221" i="12"/>
  <c r="N221" i="12"/>
  <c r="O221" i="12"/>
  <c r="P221" i="12"/>
  <c r="Q221" i="12"/>
  <c r="R221" i="12"/>
  <c r="S221" i="12"/>
  <c r="B218" i="12"/>
  <c r="C218" i="12"/>
  <c r="D218" i="12"/>
  <c r="E218" i="12"/>
  <c r="F218" i="12"/>
  <c r="G218" i="12"/>
  <c r="H218" i="12"/>
  <c r="I218" i="12"/>
  <c r="J218" i="12"/>
  <c r="K218" i="12"/>
  <c r="L218" i="12"/>
  <c r="M218" i="12"/>
  <c r="N218" i="12"/>
  <c r="O218" i="12"/>
  <c r="P218" i="12"/>
  <c r="Q218" i="12"/>
  <c r="R218" i="12"/>
  <c r="S218" i="12"/>
  <c r="B181" i="12"/>
  <c r="C181" i="12"/>
  <c r="D181" i="12"/>
  <c r="E181" i="12"/>
  <c r="F181" i="12"/>
  <c r="G181" i="12"/>
  <c r="H181" i="12"/>
  <c r="I181" i="12"/>
  <c r="J181" i="12"/>
  <c r="K181" i="12"/>
  <c r="L181" i="12"/>
  <c r="M181" i="12"/>
  <c r="N181" i="12"/>
  <c r="O181" i="12"/>
  <c r="P181" i="12"/>
  <c r="Q181" i="12"/>
  <c r="R181" i="12"/>
  <c r="S181" i="12"/>
  <c r="B172" i="12"/>
  <c r="C172" i="12"/>
  <c r="D172" i="12"/>
  <c r="E172" i="12"/>
  <c r="F172" i="12"/>
  <c r="G172" i="12"/>
  <c r="H172" i="12"/>
  <c r="I172" i="12"/>
  <c r="J172" i="12"/>
  <c r="K172" i="12"/>
  <c r="L172" i="12"/>
  <c r="M172" i="12"/>
  <c r="N172" i="12"/>
  <c r="O172" i="12"/>
  <c r="P172" i="12"/>
  <c r="Q172" i="12"/>
  <c r="R172" i="12"/>
  <c r="S172" i="12"/>
  <c r="B145" i="12"/>
  <c r="C145" i="12"/>
  <c r="D145" i="12"/>
  <c r="E145" i="12"/>
  <c r="F145" i="12"/>
  <c r="G145" i="12"/>
  <c r="H145" i="12"/>
  <c r="I145" i="12"/>
  <c r="J145" i="12"/>
  <c r="K145" i="12"/>
  <c r="L145" i="12"/>
  <c r="M145" i="12"/>
  <c r="N145" i="12"/>
  <c r="O145" i="12"/>
  <c r="P145" i="12"/>
  <c r="Q145" i="12"/>
  <c r="R145" i="12"/>
  <c r="S145" i="12"/>
  <c r="B120" i="12"/>
  <c r="C120" i="12"/>
  <c r="D120" i="12"/>
  <c r="E120" i="12"/>
  <c r="F120" i="12"/>
  <c r="G120" i="12"/>
  <c r="H120" i="12"/>
  <c r="I120" i="12"/>
  <c r="J120" i="12"/>
  <c r="K120" i="12"/>
  <c r="L120" i="12"/>
  <c r="M120" i="12"/>
  <c r="N120" i="12"/>
  <c r="O120" i="12"/>
  <c r="P120" i="12"/>
  <c r="Q120" i="12"/>
  <c r="R120" i="12"/>
  <c r="S120" i="12"/>
  <c r="S314" i="12"/>
  <c r="R314" i="12"/>
  <c r="Q314" i="12"/>
  <c r="P314" i="12"/>
  <c r="O314" i="12"/>
  <c r="N314" i="12"/>
  <c r="M314" i="12"/>
  <c r="L314" i="12"/>
  <c r="K314" i="12"/>
  <c r="J314" i="12"/>
  <c r="I314" i="12"/>
  <c r="H314" i="12"/>
  <c r="G314" i="12"/>
  <c r="F314" i="12"/>
  <c r="E314" i="12"/>
  <c r="D314" i="12"/>
  <c r="C314" i="12"/>
  <c r="B314" i="12"/>
  <c r="B214" i="12"/>
  <c r="C214" i="12"/>
  <c r="D214" i="12"/>
  <c r="E214" i="12"/>
  <c r="F214" i="12"/>
  <c r="G214" i="12"/>
  <c r="H214" i="12"/>
  <c r="I214" i="12"/>
  <c r="J214" i="12"/>
  <c r="K214" i="12"/>
  <c r="L214" i="12"/>
  <c r="M214" i="12"/>
  <c r="N214" i="12"/>
  <c r="O214" i="12"/>
  <c r="P214" i="12"/>
  <c r="Q214" i="12"/>
  <c r="R214" i="12"/>
  <c r="S214" i="12"/>
  <c r="E81" i="4"/>
  <c r="H77" i="4"/>
  <c r="I77" i="4"/>
  <c r="H76" i="4"/>
  <c r="I76" i="4"/>
  <c r="E76" i="4"/>
  <c r="E77" i="4"/>
  <c r="B77" i="12"/>
  <c r="C77" i="12"/>
  <c r="D77" i="12"/>
  <c r="E77" i="12"/>
  <c r="F77" i="12"/>
  <c r="G77" i="12"/>
  <c r="H77" i="12"/>
  <c r="I77" i="12"/>
  <c r="J77" i="12"/>
  <c r="K77" i="12"/>
  <c r="L77" i="12"/>
  <c r="M77" i="12"/>
  <c r="N77" i="12"/>
  <c r="O77" i="12"/>
  <c r="P77" i="12"/>
  <c r="Q77" i="12"/>
  <c r="R77" i="12"/>
  <c r="S77" i="12"/>
  <c r="S75" i="12"/>
  <c r="R75" i="12"/>
  <c r="Q75" i="12"/>
  <c r="P75" i="12"/>
  <c r="O75" i="12"/>
  <c r="N75" i="12"/>
  <c r="M75" i="12"/>
  <c r="L75" i="12"/>
  <c r="K75" i="12"/>
  <c r="J75" i="12"/>
  <c r="I75" i="12"/>
  <c r="H75" i="12"/>
  <c r="G75" i="12"/>
  <c r="F75" i="12"/>
  <c r="E75" i="12"/>
  <c r="D75" i="12"/>
  <c r="C75" i="12"/>
  <c r="B75" i="12"/>
  <c r="B74" i="12"/>
  <c r="C74" i="12"/>
  <c r="D74" i="12"/>
  <c r="E74" i="12"/>
  <c r="F74" i="12"/>
  <c r="G74" i="12"/>
  <c r="H74" i="12"/>
  <c r="I74" i="12"/>
  <c r="J74" i="12"/>
  <c r="K74" i="12"/>
  <c r="L74" i="12"/>
  <c r="M74" i="12"/>
  <c r="N74" i="12"/>
  <c r="O74" i="12"/>
  <c r="P74" i="12"/>
  <c r="Q74" i="12"/>
  <c r="R74" i="12"/>
  <c r="S74" i="12"/>
  <c r="B71" i="12"/>
  <c r="C71" i="12"/>
  <c r="D71" i="12"/>
  <c r="E71" i="12"/>
  <c r="F71" i="12"/>
  <c r="G71" i="12"/>
  <c r="H71" i="12"/>
  <c r="I71" i="12"/>
  <c r="J71" i="12"/>
  <c r="K71" i="12"/>
  <c r="L71" i="12"/>
  <c r="M71" i="12"/>
  <c r="N71" i="12"/>
  <c r="O71" i="12"/>
  <c r="P71" i="12"/>
  <c r="Q71" i="12"/>
  <c r="R71" i="12"/>
  <c r="S71" i="12"/>
  <c r="E72" i="4"/>
  <c r="S260" i="12"/>
  <c r="R260" i="12"/>
  <c r="Q260" i="12"/>
  <c r="P260" i="12"/>
  <c r="O260" i="12"/>
  <c r="N260" i="12"/>
  <c r="M260" i="12"/>
  <c r="L260" i="12"/>
  <c r="K260" i="12"/>
  <c r="J260" i="12"/>
  <c r="I260" i="12"/>
  <c r="H260" i="12"/>
  <c r="G260" i="12"/>
  <c r="F260" i="12"/>
  <c r="E260" i="12"/>
  <c r="D260" i="12"/>
  <c r="C260" i="12"/>
  <c r="B260" i="12"/>
  <c r="E264" i="4"/>
  <c r="E58" i="4"/>
  <c r="E52" i="4"/>
  <c r="B56" i="12"/>
  <c r="C56" i="12"/>
  <c r="D56" i="12"/>
  <c r="E56" i="12"/>
  <c r="F56" i="12"/>
  <c r="G56" i="12"/>
  <c r="H56" i="12"/>
  <c r="I56" i="12"/>
  <c r="J56" i="12"/>
  <c r="K56" i="12"/>
  <c r="L56" i="12"/>
  <c r="M56" i="12"/>
  <c r="N56" i="12"/>
  <c r="O56" i="12"/>
  <c r="P56" i="12"/>
  <c r="Q56" i="12"/>
  <c r="R56" i="12"/>
  <c r="S56" i="12"/>
  <c r="B49" i="12"/>
  <c r="C49" i="12"/>
  <c r="D49" i="12"/>
  <c r="E49" i="12"/>
  <c r="F49" i="12"/>
  <c r="G49" i="12"/>
  <c r="H49" i="12"/>
  <c r="I49" i="12"/>
  <c r="J49" i="12"/>
  <c r="K49" i="12"/>
  <c r="L49" i="12"/>
  <c r="M49" i="12"/>
  <c r="N49" i="12"/>
  <c r="O49" i="12"/>
  <c r="P49" i="12"/>
  <c r="Q49" i="12"/>
  <c r="R49" i="12"/>
  <c r="S49" i="12"/>
  <c r="B17" i="12"/>
  <c r="C17" i="12"/>
  <c r="D17" i="12"/>
  <c r="E17" i="12"/>
  <c r="F17" i="12"/>
  <c r="G17" i="12"/>
  <c r="H17" i="12"/>
  <c r="I17" i="12"/>
  <c r="J17" i="12"/>
  <c r="K17" i="12"/>
  <c r="L17" i="12"/>
  <c r="M17" i="12"/>
  <c r="N17" i="12"/>
  <c r="O17" i="12"/>
  <c r="P17" i="12"/>
  <c r="Q17" i="12"/>
  <c r="R17" i="12"/>
  <c r="S17" i="12"/>
  <c r="E25" i="4"/>
  <c r="B23" i="12"/>
  <c r="C23" i="12"/>
  <c r="D23" i="12"/>
  <c r="E23" i="12"/>
  <c r="F23" i="12"/>
  <c r="G23" i="12"/>
  <c r="H23" i="12"/>
  <c r="I23" i="12"/>
  <c r="J23" i="12"/>
  <c r="K23" i="12"/>
  <c r="L23" i="12"/>
  <c r="M23" i="12"/>
  <c r="N23" i="12"/>
  <c r="O23" i="12"/>
  <c r="P23" i="12"/>
  <c r="Q23" i="12"/>
  <c r="R23" i="12"/>
  <c r="S23" i="12"/>
  <c r="E31" i="4"/>
  <c r="B27" i="12"/>
  <c r="C27" i="12"/>
  <c r="D27" i="12"/>
  <c r="E27" i="12"/>
  <c r="F27" i="12"/>
  <c r="G27" i="12"/>
  <c r="H27" i="12"/>
  <c r="I27" i="12"/>
  <c r="J27" i="12"/>
  <c r="K27" i="12"/>
  <c r="L27" i="12"/>
  <c r="M27" i="12"/>
  <c r="N27" i="12"/>
  <c r="O27" i="12"/>
  <c r="P27" i="12"/>
  <c r="Q27" i="12"/>
  <c r="R27" i="12"/>
  <c r="S27" i="12"/>
  <c r="E35" i="4"/>
  <c r="B318" i="12"/>
  <c r="C318" i="12"/>
  <c r="D318" i="12"/>
  <c r="E318" i="12"/>
  <c r="F318" i="12"/>
  <c r="G318" i="12"/>
  <c r="H318" i="12"/>
  <c r="I318" i="12"/>
  <c r="J318" i="12"/>
  <c r="K318" i="12"/>
  <c r="L318" i="12"/>
  <c r="M318" i="12"/>
  <c r="N318" i="12"/>
  <c r="O318" i="12"/>
  <c r="P318" i="12"/>
  <c r="Q318" i="12"/>
  <c r="R318" i="12"/>
  <c r="S318" i="12"/>
  <c r="E322" i="4"/>
  <c r="D97" i="15"/>
  <c r="D5" i="15"/>
  <c r="B93" i="12"/>
  <c r="C93" i="12"/>
  <c r="D93" i="12"/>
  <c r="E93" i="12"/>
  <c r="F93" i="12"/>
  <c r="G93" i="12"/>
  <c r="H93" i="12"/>
  <c r="I93" i="12"/>
  <c r="J93" i="12"/>
  <c r="K93" i="12"/>
  <c r="L93" i="12"/>
  <c r="M93" i="12"/>
  <c r="N93" i="12"/>
  <c r="O93" i="12"/>
  <c r="P93" i="12"/>
  <c r="Q93" i="12"/>
  <c r="R93" i="12"/>
  <c r="S93" i="12"/>
  <c r="E97" i="4"/>
  <c r="A188" i="12"/>
  <c r="A192" i="4"/>
  <c r="E150" i="4"/>
  <c r="T241" i="12" l="1"/>
  <c r="U241" i="12" s="1"/>
  <c r="T224" i="12"/>
  <c r="U224" i="12" s="1"/>
  <c r="T223" i="12"/>
  <c r="U223" i="12" s="1"/>
  <c r="T92" i="12"/>
  <c r="U92" i="12" s="1"/>
  <c r="T180" i="12"/>
  <c r="U180" i="12" s="1"/>
  <c r="T280" i="12"/>
  <c r="U280" i="12" s="1"/>
  <c r="T147" i="12"/>
  <c r="U147" i="12" s="1"/>
  <c r="T94" i="12"/>
  <c r="U94" i="12" s="1"/>
  <c r="T308" i="12"/>
  <c r="U308" i="12" s="1"/>
  <c r="T331" i="12"/>
  <c r="U331" i="12" s="1"/>
  <c r="T168" i="12"/>
  <c r="U168" i="12" s="1"/>
  <c r="T149" i="12"/>
  <c r="U149" i="12" s="1"/>
  <c r="T183" i="12"/>
  <c r="U183" i="12" s="1"/>
  <c r="T160" i="12"/>
  <c r="U160" i="12" s="1"/>
  <c r="T330" i="12"/>
  <c r="U330" i="12" s="1"/>
  <c r="T310" i="12"/>
  <c r="U310" i="12" s="1"/>
  <c r="T297" i="12"/>
  <c r="U297" i="12" s="1"/>
  <c r="T274" i="12"/>
  <c r="U274" i="12" s="1"/>
  <c r="T278" i="12"/>
  <c r="U278" i="12" s="1"/>
  <c r="T267" i="12"/>
  <c r="U267" i="12" s="1"/>
  <c r="T264" i="12"/>
  <c r="U264" i="12" s="1"/>
  <c r="T228" i="12"/>
  <c r="U228" i="12" s="1"/>
  <c r="Q229" i="12"/>
  <c r="O229" i="12"/>
  <c r="I229" i="12"/>
  <c r="P229" i="12"/>
  <c r="H229" i="12"/>
  <c r="G229" i="12"/>
  <c r="N229" i="12"/>
  <c r="F229" i="12"/>
  <c r="M229" i="12"/>
  <c r="E229" i="12"/>
  <c r="L229" i="12"/>
  <c r="D229" i="12"/>
  <c r="S229" i="12"/>
  <c r="K229" i="12"/>
  <c r="C229" i="12"/>
  <c r="R229" i="12"/>
  <c r="J229" i="12"/>
  <c r="T227" i="12"/>
  <c r="U227" i="12" s="1"/>
  <c r="T221" i="12"/>
  <c r="U221" i="12" s="1"/>
  <c r="T218" i="12"/>
  <c r="U218" i="12" s="1"/>
  <c r="T181" i="12"/>
  <c r="U181" i="12" s="1"/>
  <c r="T172" i="12"/>
  <c r="U172" i="12" s="1"/>
  <c r="T145" i="12"/>
  <c r="U145" i="12" s="1"/>
  <c r="T120" i="12"/>
  <c r="U120" i="12" s="1"/>
  <c r="T314" i="12"/>
  <c r="U314" i="12" s="1"/>
  <c r="T214" i="12"/>
  <c r="U214" i="12" s="1"/>
  <c r="T77" i="12"/>
  <c r="U77" i="12" s="1"/>
  <c r="T74" i="12"/>
  <c r="U74" i="12" s="1"/>
  <c r="T75" i="12"/>
  <c r="U75" i="12" s="1"/>
  <c r="T71" i="12"/>
  <c r="U71" i="12" s="1"/>
  <c r="T260" i="12"/>
  <c r="U260" i="12" s="1"/>
  <c r="T56" i="12"/>
  <c r="U56" i="12" s="1"/>
  <c r="T17" i="12"/>
  <c r="U17" i="12" s="1"/>
  <c r="T49" i="12"/>
  <c r="U49" i="12" s="1"/>
  <c r="T23" i="12"/>
  <c r="U23" i="12" s="1"/>
  <c r="BJ7" i="2" s="1"/>
  <c r="T27" i="12"/>
  <c r="U27" i="12" s="1"/>
  <c r="T318" i="12"/>
  <c r="U318" i="12" s="1"/>
  <c r="T93" i="12"/>
  <c r="U93" i="12" s="1"/>
  <c r="AL62" i="2"/>
  <c r="AL40" i="2"/>
  <c r="AL134" i="2"/>
  <c r="AL28" i="2"/>
  <c r="T229" i="12" l="1"/>
  <c r="U229" i="12" s="1"/>
  <c r="W10" i="6"/>
  <c r="W11" i="6"/>
  <c r="W12" i="6"/>
  <c r="W13" i="6"/>
  <c r="S10" i="6"/>
  <c r="S11" i="6"/>
  <c r="S12" i="6"/>
  <c r="S13" i="6"/>
  <c r="B154" i="3" l="1"/>
  <c r="U20" i="6" l="1"/>
  <c r="V20" i="6"/>
  <c r="U21" i="6"/>
  <c r="V21" i="6"/>
  <c r="U22" i="6"/>
  <c r="V22" i="6"/>
  <c r="U23" i="6"/>
  <c r="V23" i="6"/>
  <c r="U24" i="6"/>
  <c r="V24" i="6"/>
  <c r="U25" i="6"/>
  <c r="V25" i="6"/>
  <c r="U26" i="6"/>
  <c r="V26" i="6"/>
  <c r="U27" i="6"/>
  <c r="V27" i="6"/>
  <c r="U28" i="6"/>
  <c r="V28" i="6"/>
  <c r="U29" i="6"/>
  <c r="V29" i="6"/>
  <c r="U30" i="6"/>
  <c r="V30" i="6"/>
  <c r="U31" i="6"/>
  <c r="V31" i="6"/>
  <c r="U32" i="6"/>
  <c r="V32" i="6"/>
  <c r="U33" i="6"/>
  <c r="V33" i="6"/>
  <c r="V19" i="6"/>
  <c r="U19" i="6"/>
  <c r="N21" i="6"/>
  <c r="O21" i="6"/>
  <c r="N22" i="6"/>
  <c r="O22" i="6"/>
  <c r="N23" i="6"/>
  <c r="O23" i="6"/>
  <c r="N24" i="6"/>
  <c r="O24" i="6"/>
  <c r="N25" i="6"/>
  <c r="O25" i="6"/>
  <c r="N26" i="6"/>
  <c r="O26" i="6"/>
  <c r="N27" i="6"/>
  <c r="O27" i="6"/>
  <c r="N28" i="6"/>
  <c r="O28" i="6"/>
  <c r="N29" i="6"/>
  <c r="O29" i="6"/>
  <c r="N30" i="6"/>
  <c r="O30" i="6"/>
  <c r="N31" i="6"/>
  <c r="O31" i="6"/>
  <c r="N32" i="6"/>
  <c r="O32" i="6"/>
  <c r="N33" i="6"/>
  <c r="O33" i="6"/>
  <c r="O19" i="6"/>
  <c r="N19" i="6"/>
  <c r="AC20" i="6"/>
  <c r="N20" i="6" s="1"/>
  <c r="AD20" i="6"/>
  <c r="O20" i="6" s="1"/>
  <c r="AE20" i="6"/>
  <c r="AF20" i="6"/>
  <c r="AC21" i="6"/>
  <c r="AD21" i="6"/>
  <c r="AE21" i="6"/>
  <c r="AF21" i="6"/>
  <c r="AC22" i="6"/>
  <c r="AD22" i="6"/>
  <c r="AE22" i="6"/>
  <c r="AF22" i="6"/>
  <c r="AC23" i="6"/>
  <c r="AD23" i="6"/>
  <c r="AE23" i="6"/>
  <c r="AF23" i="6"/>
  <c r="AC24" i="6"/>
  <c r="AD24" i="6"/>
  <c r="AE24" i="6"/>
  <c r="AF24" i="6"/>
  <c r="AC25" i="6"/>
  <c r="AD25" i="6"/>
  <c r="AE25" i="6"/>
  <c r="AF25" i="6"/>
  <c r="AC26" i="6"/>
  <c r="AD26" i="6"/>
  <c r="AE26" i="6"/>
  <c r="AF26" i="6"/>
  <c r="AC27" i="6"/>
  <c r="AD27" i="6"/>
  <c r="AE27" i="6"/>
  <c r="AF27" i="6"/>
  <c r="AC28" i="6"/>
  <c r="AD28" i="6"/>
  <c r="AE28" i="6"/>
  <c r="AF28" i="6"/>
  <c r="AC29" i="6"/>
  <c r="AD29" i="6"/>
  <c r="AE29" i="6"/>
  <c r="AF29" i="6"/>
  <c r="AC30" i="6"/>
  <c r="AD30" i="6"/>
  <c r="AE30" i="6"/>
  <c r="AF30" i="6"/>
  <c r="AC31" i="6"/>
  <c r="AD31" i="6"/>
  <c r="AE31" i="6"/>
  <c r="AF31" i="6"/>
  <c r="AC32" i="6"/>
  <c r="AD32" i="6"/>
  <c r="AE32" i="6"/>
  <c r="AF32" i="6"/>
  <c r="AC33" i="6"/>
  <c r="AD33" i="6"/>
  <c r="AE33" i="6"/>
  <c r="AF33" i="6"/>
  <c r="AF19" i="6"/>
  <c r="AE19" i="6"/>
  <c r="AD19" i="6"/>
  <c r="AC19" i="6"/>
  <c r="F23" i="6"/>
  <c r="G23" i="6"/>
  <c r="F32" i="6"/>
  <c r="G32" i="6"/>
  <c r="F33" i="6"/>
  <c r="G33" i="6"/>
  <c r="F34" i="6"/>
  <c r="G34" i="6"/>
  <c r="F35" i="6"/>
  <c r="G35" i="6"/>
  <c r="F36" i="6"/>
  <c r="G36" i="6"/>
  <c r="F37" i="6"/>
  <c r="G37" i="6"/>
  <c r="F38" i="6"/>
  <c r="G38" i="6"/>
  <c r="F39" i="6"/>
  <c r="G39" i="6"/>
  <c r="AA20" i="6"/>
  <c r="F20" i="6" s="1"/>
  <c r="AB20" i="6"/>
  <c r="G20" i="6" s="1"/>
  <c r="AA21" i="6"/>
  <c r="F21" i="6" s="1"/>
  <c r="AB21" i="6"/>
  <c r="G21" i="6" s="1"/>
  <c r="AA22" i="6"/>
  <c r="F22" i="6" s="1"/>
  <c r="AB22" i="6"/>
  <c r="G22" i="6" s="1"/>
  <c r="AA23" i="6"/>
  <c r="AB23" i="6"/>
  <c r="AA24" i="6"/>
  <c r="F24" i="6" s="1"/>
  <c r="AB24" i="6"/>
  <c r="G24" i="6" s="1"/>
  <c r="AA25" i="6"/>
  <c r="F25" i="6" s="1"/>
  <c r="AB25" i="6"/>
  <c r="G25" i="6" s="1"/>
  <c r="AA26" i="6"/>
  <c r="F26" i="6" s="1"/>
  <c r="AB26" i="6"/>
  <c r="G26" i="6" s="1"/>
  <c r="AA27" i="6"/>
  <c r="F27" i="6" s="1"/>
  <c r="AB27" i="6"/>
  <c r="G27" i="6" s="1"/>
  <c r="AA28" i="6"/>
  <c r="F28" i="6" s="1"/>
  <c r="AB28" i="6"/>
  <c r="G28" i="6" s="1"/>
  <c r="AA29" i="6"/>
  <c r="F29" i="6" s="1"/>
  <c r="AB29" i="6"/>
  <c r="G29" i="6" s="1"/>
  <c r="AA30" i="6"/>
  <c r="F30" i="6" s="1"/>
  <c r="AB30" i="6"/>
  <c r="G30" i="6" s="1"/>
  <c r="AA31" i="6"/>
  <c r="F31" i="6" s="1"/>
  <c r="AB31" i="6"/>
  <c r="G31" i="6" s="1"/>
  <c r="AA32" i="6"/>
  <c r="AB32" i="6"/>
  <c r="AA33" i="6"/>
  <c r="AB33" i="6"/>
  <c r="AA34" i="6"/>
  <c r="AB34" i="6"/>
  <c r="AA35" i="6"/>
  <c r="AB35" i="6"/>
  <c r="AA36" i="6"/>
  <c r="AB36" i="6"/>
  <c r="AA37" i="6"/>
  <c r="AB37" i="6"/>
  <c r="AA38" i="6"/>
  <c r="AB38" i="6"/>
  <c r="AA39" i="6"/>
  <c r="AB39" i="6"/>
  <c r="AB19" i="6"/>
  <c r="G19" i="6" s="1"/>
  <c r="AA19" i="6"/>
  <c r="F19" i="6" s="1"/>
  <c r="E41" i="6" l="1"/>
  <c r="N7" i="11"/>
  <c r="N8" i="11"/>
  <c r="N9" i="11"/>
  <c r="N10" i="11"/>
  <c r="N11" i="11"/>
  <c r="A176" i="3" l="1"/>
  <c r="A122" i="3"/>
  <c r="B180" i="3"/>
  <c r="E3" i="4"/>
  <c r="E2" i="4"/>
  <c r="A46" i="4" l="1"/>
  <c r="A63" i="4"/>
  <c r="A94" i="4"/>
  <c r="A110" i="4"/>
  <c r="A191" i="4"/>
  <c r="A232" i="4" l="1"/>
  <c r="A80" i="4"/>
  <c r="A47" i="4"/>
  <c r="E64" i="4" l="1"/>
  <c r="B60" i="3"/>
  <c r="B61" i="3"/>
  <c r="A30" i="3" l="1"/>
  <c r="B499" i="12" l="1"/>
  <c r="C499" i="12"/>
  <c r="D499" i="12"/>
  <c r="E499" i="12"/>
  <c r="F499" i="12"/>
  <c r="G499" i="12"/>
  <c r="H499" i="12"/>
  <c r="I499" i="12"/>
  <c r="L499" i="12"/>
  <c r="M499" i="12"/>
  <c r="N499" i="12"/>
  <c r="O499" i="12"/>
  <c r="P499" i="12"/>
  <c r="Q499" i="12"/>
  <c r="R499" i="12"/>
  <c r="S499" i="12"/>
  <c r="B172" i="3"/>
  <c r="B348" i="12"/>
  <c r="C348" i="12"/>
  <c r="D348" i="12"/>
  <c r="E348" i="12"/>
  <c r="F348" i="12"/>
  <c r="G348" i="12"/>
  <c r="H348" i="12"/>
  <c r="I348" i="12"/>
  <c r="L348" i="12"/>
  <c r="M348" i="12"/>
  <c r="N348" i="12"/>
  <c r="O348" i="12"/>
  <c r="P348" i="12"/>
  <c r="Q348" i="12"/>
  <c r="R348" i="12"/>
  <c r="S348" i="12"/>
  <c r="A112" i="4"/>
  <c r="K20" i="13"/>
  <c r="B17" i="3"/>
  <c r="A132" i="3"/>
  <c r="A149" i="3"/>
  <c r="B149" i="3" s="1"/>
  <c r="A152" i="3"/>
  <c r="A65" i="3" l="1"/>
  <c r="B158" i="3"/>
  <c r="B486" i="12"/>
  <c r="C486" i="12"/>
  <c r="D486" i="12"/>
  <c r="E486" i="12"/>
  <c r="F486" i="12"/>
  <c r="G486" i="12"/>
  <c r="H486" i="12"/>
  <c r="I486" i="12"/>
  <c r="L486" i="12"/>
  <c r="M486" i="12"/>
  <c r="N486" i="12"/>
  <c r="O486" i="12"/>
  <c r="P486" i="12"/>
  <c r="Q486" i="12"/>
  <c r="R486" i="12"/>
  <c r="S486" i="12"/>
  <c r="B157" i="3"/>
  <c r="B415" i="12"/>
  <c r="C415" i="12"/>
  <c r="D415" i="12"/>
  <c r="E415" i="12"/>
  <c r="F415" i="12"/>
  <c r="G415" i="12"/>
  <c r="H415" i="12"/>
  <c r="I415" i="12"/>
  <c r="L415" i="12"/>
  <c r="M415" i="12"/>
  <c r="N415" i="12"/>
  <c r="O415" i="12"/>
  <c r="P415" i="12"/>
  <c r="Q415" i="12"/>
  <c r="R415" i="12"/>
  <c r="S415" i="12"/>
  <c r="A75" i="3"/>
  <c r="B86" i="3"/>
  <c r="A92" i="3"/>
  <c r="A531" i="12"/>
  <c r="A205" i="3"/>
  <c r="A195" i="3"/>
  <c r="A521" i="12"/>
  <c r="A193" i="3"/>
  <c r="A519" i="12"/>
  <c r="A518" i="12"/>
  <c r="A517" i="12"/>
  <c r="A192" i="3"/>
  <c r="A191" i="3"/>
  <c r="A175" i="3"/>
  <c r="A503" i="12"/>
  <c r="A502" i="12"/>
  <c r="A167" i="3"/>
  <c r="A495" i="12"/>
  <c r="A494" i="12"/>
  <c r="A168" i="3"/>
  <c r="A166" i="3"/>
  <c r="A493" i="12" l="1"/>
  <c r="A491" i="12"/>
  <c r="A490" i="12"/>
  <c r="A489" i="12"/>
  <c r="B166" i="3"/>
  <c r="A164" i="3"/>
  <c r="A163" i="3"/>
  <c r="A162" i="3"/>
  <c r="A161" i="3"/>
  <c r="B161" i="3" s="1"/>
  <c r="A488" i="12"/>
  <c r="A487" i="12"/>
  <c r="A485" i="12"/>
  <c r="A160" i="3"/>
  <c r="B160" i="3" s="1"/>
  <c r="A159" i="3"/>
  <c r="B159" i="3" s="1"/>
  <c r="A153" i="3"/>
  <c r="B153" i="3" s="1"/>
  <c r="A481" i="12"/>
  <c r="A480" i="12"/>
  <c r="B152" i="3"/>
  <c r="A139" i="3"/>
  <c r="A468" i="12"/>
  <c r="A467" i="12"/>
  <c r="A138" i="3"/>
  <c r="B138" i="3" s="1"/>
  <c r="A136" i="3"/>
  <c r="B136" i="3" s="1"/>
  <c r="Z2" i="12"/>
  <c r="V2" i="12"/>
  <c r="A465" i="12"/>
  <c r="A464" i="12"/>
  <c r="A135" i="3"/>
  <c r="B135" i="3" s="1"/>
  <c r="A133" i="3"/>
  <c r="B133" i="3" s="1"/>
  <c r="A462" i="12"/>
  <c r="A461" i="12"/>
  <c r="B132" i="3"/>
  <c r="A130" i="3"/>
  <c r="B130" i="3" s="1"/>
  <c r="A459" i="12"/>
  <c r="A125" i="3"/>
  <c r="B125" i="3" s="1"/>
  <c r="A454" i="12"/>
  <c r="A453" i="12"/>
  <c r="A452" i="12"/>
  <c r="A451" i="12"/>
  <c r="A124" i="3"/>
  <c r="B124" i="3" s="1"/>
  <c r="A123" i="3"/>
  <c r="B123" i="3" s="1"/>
  <c r="B122" i="3"/>
  <c r="A121" i="3"/>
  <c r="B121" i="3" s="1"/>
  <c r="A450" i="12"/>
  <c r="A449" i="12"/>
  <c r="A448" i="12"/>
  <c r="A447" i="12"/>
  <c r="A446" i="12"/>
  <c r="A445" i="12"/>
  <c r="A444" i="12"/>
  <c r="A443" i="12"/>
  <c r="A120" i="3"/>
  <c r="B120" i="3" s="1"/>
  <c r="A119" i="3"/>
  <c r="B119" i="3" s="1"/>
  <c r="A118" i="3"/>
  <c r="B118" i="3" s="1"/>
  <c r="A117" i="3"/>
  <c r="B117" i="3" s="1"/>
  <c r="A116" i="3"/>
  <c r="B116" i="3" s="1"/>
  <c r="A115" i="3"/>
  <c r="B115" i="3" s="1"/>
  <c r="A114" i="3"/>
  <c r="B114" i="3" s="1"/>
  <c r="A110" i="3"/>
  <c r="B110" i="3" s="1"/>
  <c r="A440" i="12"/>
  <c r="A439" i="12"/>
  <c r="A438" i="12"/>
  <c r="A437" i="12"/>
  <c r="A436" i="12"/>
  <c r="A435" i="12"/>
  <c r="A434" i="12"/>
  <c r="A433" i="12"/>
  <c r="A111" i="3"/>
  <c r="B111" i="3" s="1"/>
  <c r="A109" i="3"/>
  <c r="B109" i="3" s="1"/>
  <c r="A108" i="3"/>
  <c r="B108" i="3" s="1"/>
  <c r="A107" i="3"/>
  <c r="B107" i="3" s="1"/>
  <c r="A106" i="3"/>
  <c r="B106" i="3" s="1"/>
  <c r="A105" i="3"/>
  <c r="B105" i="3" s="1"/>
  <c r="A104" i="3"/>
  <c r="B104" i="3" s="1"/>
  <c r="A95" i="3"/>
  <c r="A424" i="12"/>
  <c r="A423" i="12"/>
  <c r="A422" i="12"/>
  <c r="A421" i="12"/>
  <c r="A420" i="12"/>
  <c r="A94" i="3"/>
  <c r="A93" i="3"/>
  <c r="A91" i="3"/>
  <c r="A89" i="3"/>
  <c r="B89" i="3" s="1"/>
  <c r="A418" i="12"/>
  <c r="A87" i="3"/>
  <c r="B87" i="3" s="1"/>
  <c r="A416" i="12"/>
  <c r="A81" i="3"/>
  <c r="B81" i="3" s="1"/>
  <c r="A410" i="12"/>
  <c r="A409" i="12"/>
  <c r="A408" i="12"/>
  <c r="A407" i="12"/>
  <c r="A406" i="12"/>
  <c r="A80" i="3"/>
  <c r="B80" i="3" s="1"/>
  <c r="A79" i="3"/>
  <c r="B79" i="3" s="1"/>
  <c r="A78" i="3"/>
  <c r="B78" i="3" s="1"/>
  <c r="B59" i="3"/>
  <c r="A77" i="3"/>
  <c r="B77" i="3" s="1"/>
  <c r="B75" i="3"/>
  <c r="A404" i="12"/>
  <c r="A69" i="3"/>
  <c r="B69" i="3" s="1"/>
  <c r="A398" i="12"/>
  <c r="A68" i="3"/>
  <c r="B68" i="3" s="1"/>
  <c r="A397" i="12"/>
  <c r="A396" i="12"/>
  <c r="A395" i="12"/>
  <c r="A394" i="12"/>
  <c r="A393" i="12"/>
  <c r="A392" i="12"/>
  <c r="A67" i="3"/>
  <c r="B67" i="3" s="1"/>
  <c r="A66" i="3"/>
  <c r="B66" i="3" s="1"/>
  <c r="B65" i="3"/>
  <c r="A64" i="3"/>
  <c r="B64" i="3" s="1"/>
  <c r="A63" i="3"/>
  <c r="B63" i="3" s="1"/>
  <c r="A58" i="3"/>
  <c r="A389" i="12"/>
  <c r="A388" i="12"/>
  <c r="A387" i="12"/>
  <c r="A386" i="12"/>
  <c r="A385" i="12"/>
  <c r="A384" i="12"/>
  <c r="A383" i="12"/>
  <c r="A57" i="3"/>
  <c r="B57" i="3" s="1"/>
  <c r="A56" i="3"/>
  <c r="B56" i="3" s="1"/>
  <c r="A55" i="3"/>
  <c r="B55" i="3" s="1"/>
  <c r="A53" i="3"/>
  <c r="B53" i="3" s="1"/>
  <c r="A54" i="3"/>
  <c r="B54" i="3" s="1"/>
  <c r="A52" i="3"/>
  <c r="B52" i="3" s="1"/>
  <c r="A50" i="3"/>
  <c r="A381" i="12"/>
  <c r="A380" i="12"/>
  <c r="A379" i="12"/>
  <c r="A378" i="12"/>
  <c r="A49" i="3"/>
  <c r="A48" i="3"/>
  <c r="B48" i="3" s="1"/>
  <c r="A47" i="3"/>
  <c r="B47" i="3" s="1"/>
  <c r="A43" i="3"/>
  <c r="B43" i="3" s="1"/>
  <c r="A375" i="12"/>
  <c r="A374" i="12"/>
  <c r="A44" i="3"/>
  <c r="B44" i="3" s="1"/>
  <c r="A39" i="3"/>
  <c r="B39" i="3" s="1"/>
  <c r="B205" i="3"/>
  <c r="B183" i="3"/>
  <c r="B184" i="3"/>
  <c r="B185" i="3"/>
  <c r="B186" i="3"/>
  <c r="B187" i="3"/>
  <c r="B188" i="3"/>
  <c r="B189" i="3"/>
  <c r="B190" i="3"/>
  <c r="B191" i="3"/>
  <c r="B192" i="3"/>
  <c r="B193" i="3"/>
  <c r="B194" i="3"/>
  <c r="B195" i="3"/>
  <c r="B196" i="3"/>
  <c r="B197" i="3"/>
  <c r="B182" i="3"/>
  <c r="B179" i="3"/>
  <c r="B176" i="3"/>
  <c r="B177" i="3"/>
  <c r="B175" i="3"/>
  <c r="B167" i="3"/>
  <c r="B168" i="3"/>
  <c r="B169" i="3"/>
  <c r="B170" i="3"/>
  <c r="B171" i="3"/>
  <c r="B165" i="3"/>
  <c r="B155" i="3"/>
  <c r="B147" i="3"/>
  <c r="B148" i="3"/>
  <c r="B150" i="3"/>
  <c r="B151" i="3"/>
  <c r="B146" i="3"/>
  <c r="B141" i="3"/>
  <c r="B142" i="3"/>
  <c r="B143" i="3"/>
  <c r="B144" i="3"/>
  <c r="B140" i="3"/>
  <c r="B126" i="3"/>
  <c r="B127" i="3"/>
  <c r="B128" i="3"/>
  <c r="B129" i="3"/>
  <c r="B112" i="3"/>
  <c r="B88" i="3"/>
  <c r="B90" i="3"/>
  <c r="B96" i="3"/>
  <c r="B97" i="3"/>
  <c r="B98" i="3"/>
  <c r="B99" i="3"/>
  <c r="B100" i="3"/>
  <c r="B101" i="3"/>
  <c r="B102" i="3"/>
  <c r="B103" i="3"/>
  <c r="B82" i="3"/>
  <c r="B62" i="3"/>
  <c r="B70" i="3"/>
  <c r="B71" i="3"/>
  <c r="B72" i="3"/>
  <c r="B73" i="3"/>
  <c r="B74" i="3"/>
  <c r="B76" i="3"/>
  <c r="B51" i="3"/>
  <c r="B41" i="3"/>
  <c r="B33" i="3"/>
  <c r="B34" i="3"/>
  <c r="B40" i="3"/>
  <c r="B42" i="3"/>
  <c r="B45" i="3"/>
  <c r="B46" i="3"/>
  <c r="A370" i="12"/>
  <c r="A369" i="12"/>
  <c r="A368" i="12"/>
  <c r="A367" i="12"/>
  <c r="A366" i="12"/>
  <c r="A38" i="3"/>
  <c r="B38" i="3" s="1"/>
  <c r="A37" i="3"/>
  <c r="B37" i="3" s="1"/>
  <c r="A36" i="3"/>
  <c r="B36" i="3" s="1"/>
  <c r="A35" i="3"/>
  <c r="B35" i="3" s="1"/>
  <c r="A32" i="3"/>
  <c r="B32" i="3" s="1"/>
  <c r="J348" i="12" l="1"/>
  <c r="J499" i="12"/>
  <c r="J415" i="12"/>
  <c r="J486" i="12"/>
  <c r="N14" i="6"/>
  <c r="K499" i="12" s="1"/>
  <c r="A363" i="12"/>
  <c r="A362" i="12"/>
  <c r="A361" i="12"/>
  <c r="A360" i="12"/>
  <c r="A359" i="12"/>
  <c r="A358" i="12"/>
  <c r="A357" i="12"/>
  <c r="A31" i="3"/>
  <c r="B31" i="3" s="1"/>
  <c r="B30" i="3"/>
  <c r="A29" i="3"/>
  <c r="B29" i="3" s="1"/>
  <c r="A28" i="3"/>
  <c r="B28" i="3" s="1"/>
  <c r="A27" i="3"/>
  <c r="B27" i="3" s="1"/>
  <c r="A26" i="3"/>
  <c r="B26" i="3" s="1"/>
  <c r="A25" i="3"/>
  <c r="A356" i="12"/>
  <c r="A24" i="3"/>
  <c r="A355" i="12"/>
  <c r="A333" i="4"/>
  <c r="A325" i="12"/>
  <c r="A324" i="4"/>
  <c r="A323" i="12"/>
  <c r="A327" i="4"/>
  <c r="A321" i="4"/>
  <c r="A320" i="12"/>
  <c r="A319" i="12"/>
  <c r="A323" i="4"/>
  <c r="A317" i="12"/>
  <c r="A316" i="4"/>
  <c r="A312" i="12"/>
  <c r="A313" i="4"/>
  <c r="A309" i="12"/>
  <c r="A285" i="4"/>
  <c r="A288" i="4"/>
  <c r="A289" i="4"/>
  <c r="A281" i="12"/>
  <c r="A275" i="4"/>
  <c r="A271" i="12"/>
  <c r="A273" i="4"/>
  <c r="A269" i="12"/>
  <c r="A269" i="4"/>
  <c r="A265" i="12"/>
  <c r="A242" i="4"/>
  <c r="A108" i="12"/>
  <c r="A238" i="12"/>
  <c r="A233" i="4"/>
  <c r="A230" i="12"/>
  <c r="A220" i="4"/>
  <c r="A217" i="12"/>
  <c r="A189" i="12"/>
  <c r="A190" i="4"/>
  <c r="A187" i="12"/>
  <c r="A186" i="12"/>
  <c r="A189" i="4"/>
  <c r="A173" i="4"/>
  <c r="A170" i="12"/>
  <c r="A169" i="12"/>
  <c r="A167" i="12"/>
  <c r="A174" i="4"/>
  <c r="A166" i="4"/>
  <c r="A161" i="12"/>
  <c r="A159" i="12"/>
  <c r="A162" i="4"/>
  <c r="A153" i="4"/>
  <c r="A151" i="12"/>
  <c r="A150" i="12"/>
  <c r="A154" i="4"/>
  <c r="B154" i="12"/>
  <c r="C154" i="12"/>
  <c r="D154" i="12"/>
  <c r="E154" i="12"/>
  <c r="F154" i="12"/>
  <c r="G154" i="12"/>
  <c r="H154" i="12"/>
  <c r="I154" i="12"/>
  <c r="J154" i="12"/>
  <c r="K154" i="12"/>
  <c r="L154" i="12"/>
  <c r="M154" i="12"/>
  <c r="N154" i="12"/>
  <c r="O154" i="12"/>
  <c r="P154" i="12"/>
  <c r="Q154" i="12"/>
  <c r="R154" i="12"/>
  <c r="S154" i="12"/>
  <c r="A142" i="4"/>
  <c r="A139" i="12"/>
  <c r="A136" i="4"/>
  <c r="A132" i="12"/>
  <c r="A134" i="4"/>
  <c r="A131" i="12"/>
  <c r="A130" i="12"/>
  <c r="A129" i="12"/>
  <c r="A128" i="12"/>
  <c r="A127" i="12"/>
  <c r="A133" i="4"/>
  <c r="A132" i="4"/>
  <c r="A131" i="4"/>
  <c r="A130" i="4"/>
  <c r="A128" i="4"/>
  <c r="A125" i="12"/>
  <c r="A124" i="12"/>
  <c r="A127" i="4"/>
  <c r="A126" i="4"/>
  <c r="B123" i="12"/>
  <c r="C123" i="12"/>
  <c r="D123" i="12"/>
  <c r="E123" i="12"/>
  <c r="F123" i="12"/>
  <c r="G123" i="12"/>
  <c r="H123" i="12"/>
  <c r="I123" i="12"/>
  <c r="J123" i="12"/>
  <c r="K123" i="12"/>
  <c r="L123" i="12"/>
  <c r="M123" i="12"/>
  <c r="N123" i="12"/>
  <c r="O123" i="12"/>
  <c r="P123" i="12"/>
  <c r="Q123" i="12"/>
  <c r="R123" i="12"/>
  <c r="S123" i="12"/>
  <c r="A122" i="12"/>
  <c r="A121" i="12"/>
  <c r="A119" i="12"/>
  <c r="A118" i="12"/>
  <c r="A117" i="12"/>
  <c r="A124" i="4"/>
  <c r="A122" i="4"/>
  <c r="A121" i="4"/>
  <c r="A120" i="4"/>
  <c r="A117" i="4"/>
  <c r="A114" i="12"/>
  <c r="G114" i="12" s="1"/>
  <c r="A111" i="4"/>
  <c r="A111" i="12"/>
  <c r="A110" i="12"/>
  <c r="A109" i="12"/>
  <c r="A107" i="12"/>
  <c r="A114" i="4"/>
  <c r="A109" i="4"/>
  <c r="A102" i="4"/>
  <c r="B98" i="12"/>
  <c r="C98" i="12"/>
  <c r="D98" i="12"/>
  <c r="E98" i="12"/>
  <c r="F98" i="12"/>
  <c r="G98" i="12"/>
  <c r="H98" i="12"/>
  <c r="I98" i="12"/>
  <c r="J98" i="12"/>
  <c r="K98" i="12"/>
  <c r="L98" i="12"/>
  <c r="M98" i="12"/>
  <c r="N98" i="12"/>
  <c r="O98" i="12"/>
  <c r="P98" i="12"/>
  <c r="Q98" i="12"/>
  <c r="R98" i="12"/>
  <c r="S98" i="12"/>
  <c r="A99" i="12"/>
  <c r="I99" i="12" s="1"/>
  <c r="A97" i="12"/>
  <c r="C97" i="12" s="1"/>
  <c r="A101" i="4"/>
  <c r="A90" i="12"/>
  <c r="A89" i="12"/>
  <c r="A92" i="4"/>
  <c r="A80" i="12"/>
  <c r="A84" i="4"/>
  <c r="A76" i="12"/>
  <c r="A65" i="4"/>
  <c r="A64" i="12"/>
  <c r="A63" i="12"/>
  <c r="B63" i="12" s="1"/>
  <c r="A62" i="12"/>
  <c r="A74" i="4"/>
  <c r="A55" i="12"/>
  <c r="A59" i="4"/>
  <c r="A60" i="4"/>
  <c r="A58" i="12"/>
  <c r="A57" i="12"/>
  <c r="A62" i="4"/>
  <c r="A54" i="4"/>
  <c r="A53" i="12"/>
  <c r="A52" i="12"/>
  <c r="A51" i="12"/>
  <c r="A50" i="12"/>
  <c r="A48" i="12"/>
  <c r="A56" i="4"/>
  <c r="B56" i="4" s="1"/>
  <c r="A55" i="4"/>
  <c r="A53" i="4"/>
  <c r="A51" i="4"/>
  <c r="A48" i="4"/>
  <c r="A45" i="12"/>
  <c r="A44" i="12"/>
  <c r="A36" i="12"/>
  <c r="C36" i="12" s="1"/>
  <c r="A39" i="4"/>
  <c r="A33" i="12"/>
  <c r="A177" i="4"/>
  <c r="A177" i="12"/>
  <c r="A180" i="4"/>
  <c r="A176" i="12"/>
  <c r="A175" i="12"/>
  <c r="A174" i="12"/>
  <c r="A179" i="4"/>
  <c r="A178" i="4"/>
  <c r="AL18" i="2"/>
  <c r="T499" i="12" l="1"/>
  <c r="U499" i="12" s="1"/>
  <c r="K486" i="12"/>
  <c r="T486" i="12" s="1"/>
  <c r="U486" i="12" s="1"/>
  <c r="K348" i="12"/>
  <c r="T348" i="12" s="1"/>
  <c r="U348" i="12" s="1"/>
  <c r="S14" i="6"/>
  <c r="K415" i="12"/>
  <c r="T415" i="12" s="1"/>
  <c r="U415" i="12" s="1"/>
  <c r="R97" i="12"/>
  <c r="T123" i="12"/>
  <c r="U123" i="12" s="1"/>
  <c r="T154" i="12"/>
  <c r="U154" i="12" s="1"/>
  <c r="M114" i="12"/>
  <c r="E114" i="12"/>
  <c r="N114" i="12"/>
  <c r="F114" i="12"/>
  <c r="L114" i="12"/>
  <c r="S114" i="12"/>
  <c r="K114" i="12"/>
  <c r="C114" i="12"/>
  <c r="R114" i="12"/>
  <c r="J114" i="12"/>
  <c r="B114" i="12"/>
  <c r="Q114" i="12"/>
  <c r="I114" i="12"/>
  <c r="P114" i="12"/>
  <c r="H114" i="12"/>
  <c r="D114" i="12"/>
  <c r="O114" i="12"/>
  <c r="H99" i="12"/>
  <c r="T98" i="12"/>
  <c r="U98" i="12" s="1"/>
  <c r="B36" i="12"/>
  <c r="I97" i="12"/>
  <c r="F97" i="12"/>
  <c r="P99" i="12"/>
  <c r="B97" i="12"/>
  <c r="Q97" i="12"/>
  <c r="N97" i="12"/>
  <c r="J97" i="12"/>
  <c r="O99" i="12"/>
  <c r="N99" i="12"/>
  <c r="F99" i="12"/>
  <c r="P97" i="12"/>
  <c r="H97" i="12"/>
  <c r="G99" i="12"/>
  <c r="M99" i="12"/>
  <c r="E99" i="12"/>
  <c r="O97" i="12"/>
  <c r="G97" i="12"/>
  <c r="S99" i="12"/>
  <c r="K99" i="12"/>
  <c r="C99" i="12"/>
  <c r="M97" i="12"/>
  <c r="E97" i="12"/>
  <c r="R99" i="12"/>
  <c r="J99" i="12"/>
  <c r="B99" i="12"/>
  <c r="L97" i="12"/>
  <c r="D97" i="12"/>
  <c r="L99" i="12"/>
  <c r="D99" i="12"/>
  <c r="Q99" i="12"/>
  <c r="S97" i="12"/>
  <c r="K97" i="12"/>
  <c r="H63" i="12"/>
  <c r="P63" i="12"/>
  <c r="Q63" i="12"/>
  <c r="I63" i="12"/>
  <c r="O63" i="12"/>
  <c r="G63" i="12"/>
  <c r="N63" i="12"/>
  <c r="F63" i="12"/>
  <c r="M63" i="12"/>
  <c r="E63" i="12"/>
  <c r="L63" i="12"/>
  <c r="D63" i="12"/>
  <c r="S63" i="12"/>
  <c r="K63" i="12"/>
  <c r="C63" i="12"/>
  <c r="R63" i="12"/>
  <c r="J63" i="12"/>
  <c r="P36" i="12"/>
  <c r="I36" i="12"/>
  <c r="O36" i="12"/>
  <c r="N36" i="12"/>
  <c r="J36" i="12"/>
  <c r="R36" i="12"/>
  <c r="G36" i="12"/>
  <c r="H36" i="12"/>
  <c r="Q36" i="12"/>
  <c r="F36" i="12"/>
  <c r="M36" i="12"/>
  <c r="E36" i="12"/>
  <c r="L36" i="12"/>
  <c r="D36" i="12"/>
  <c r="S36" i="12"/>
  <c r="K36" i="12"/>
  <c r="K20" i="7"/>
  <c r="T114" i="12" l="1"/>
  <c r="U114" i="12" s="1"/>
  <c r="T36" i="12"/>
  <c r="U36" i="12" s="1"/>
  <c r="T99" i="12"/>
  <c r="U99" i="12" s="1"/>
  <c r="T97" i="12"/>
  <c r="U97" i="12" s="1"/>
  <c r="T63" i="12"/>
  <c r="U63" i="12" s="1"/>
  <c r="D18" i="15"/>
  <c r="D19" i="15"/>
  <c r="D20" i="15"/>
  <c r="D21" i="15"/>
  <c r="D22" i="15"/>
  <c r="B133" i="12"/>
  <c r="C133" i="12"/>
  <c r="D133" i="12"/>
  <c r="E133" i="12"/>
  <c r="F133" i="12"/>
  <c r="G133" i="12"/>
  <c r="H133" i="12"/>
  <c r="I133" i="12"/>
  <c r="J133" i="12"/>
  <c r="K133" i="12"/>
  <c r="L133" i="12"/>
  <c r="M133" i="12"/>
  <c r="N133" i="12"/>
  <c r="O133" i="12"/>
  <c r="P133" i="12"/>
  <c r="Q133" i="12"/>
  <c r="R133" i="12"/>
  <c r="S133" i="12"/>
  <c r="E135" i="4"/>
  <c r="B107" i="12"/>
  <c r="C107" i="12"/>
  <c r="D107" i="12"/>
  <c r="E107" i="12"/>
  <c r="F107" i="12"/>
  <c r="G107" i="12"/>
  <c r="H107" i="12"/>
  <c r="I107" i="12"/>
  <c r="J107" i="12"/>
  <c r="K107" i="12"/>
  <c r="L107" i="12"/>
  <c r="M107" i="12"/>
  <c r="N107" i="12"/>
  <c r="O107" i="12"/>
  <c r="P107" i="12"/>
  <c r="Q107" i="12"/>
  <c r="R107" i="12"/>
  <c r="S107" i="12"/>
  <c r="E109" i="4"/>
  <c r="B103" i="12"/>
  <c r="C103" i="12"/>
  <c r="D103" i="12"/>
  <c r="E103" i="12"/>
  <c r="F103" i="12"/>
  <c r="G103" i="12"/>
  <c r="H103" i="12"/>
  <c r="I103" i="12"/>
  <c r="J103" i="12"/>
  <c r="K103" i="12"/>
  <c r="L103" i="12"/>
  <c r="M103" i="12"/>
  <c r="N103" i="12"/>
  <c r="O103" i="12"/>
  <c r="P103" i="12"/>
  <c r="Q103" i="12"/>
  <c r="R103" i="12"/>
  <c r="S103" i="12"/>
  <c r="B115" i="12"/>
  <c r="C115" i="12"/>
  <c r="D115" i="12"/>
  <c r="E115" i="12"/>
  <c r="F115" i="12"/>
  <c r="G115" i="12"/>
  <c r="H115" i="12"/>
  <c r="I115" i="12"/>
  <c r="J115" i="12"/>
  <c r="K115" i="12"/>
  <c r="L115" i="12"/>
  <c r="M115" i="12"/>
  <c r="N115" i="12"/>
  <c r="O115" i="12"/>
  <c r="P115" i="12"/>
  <c r="Q115" i="12"/>
  <c r="R115" i="12"/>
  <c r="S115" i="12"/>
  <c r="E118" i="4"/>
  <c r="B466" i="12"/>
  <c r="C466" i="12"/>
  <c r="D466" i="12"/>
  <c r="E466" i="12"/>
  <c r="F466" i="12"/>
  <c r="G466" i="12"/>
  <c r="H466" i="12"/>
  <c r="I466" i="12"/>
  <c r="J466" i="12"/>
  <c r="L466" i="12"/>
  <c r="M466" i="12"/>
  <c r="N466" i="12"/>
  <c r="O466" i="12"/>
  <c r="P466" i="12"/>
  <c r="Q466" i="12"/>
  <c r="R466" i="12"/>
  <c r="S466" i="12"/>
  <c r="B340" i="12"/>
  <c r="C340" i="12"/>
  <c r="D340" i="12"/>
  <c r="E340" i="12"/>
  <c r="F340" i="12"/>
  <c r="G340" i="12"/>
  <c r="H340" i="12"/>
  <c r="I340" i="12"/>
  <c r="J340" i="12"/>
  <c r="L340" i="12"/>
  <c r="M340" i="12"/>
  <c r="N340" i="12"/>
  <c r="O340" i="12"/>
  <c r="P340" i="12"/>
  <c r="Q340" i="12"/>
  <c r="R340" i="12"/>
  <c r="S340" i="12"/>
  <c r="B341" i="12"/>
  <c r="C341" i="12"/>
  <c r="D341" i="12"/>
  <c r="E341" i="12"/>
  <c r="F341" i="12"/>
  <c r="G341" i="12"/>
  <c r="H341" i="12"/>
  <c r="I341" i="12"/>
  <c r="J341" i="12"/>
  <c r="L341" i="12"/>
  <c r="M341" i="12"/>
  <c r="N341" i="12"/>
  <c r="O341" i="12"/>
  <c r="P341" i="12"/>
  <c r="Q341" i="12"/>
  <c r="R341" i="12"/>
  <c r="S341" i="12"/>
  <c r="B479" i="12"/>
  <c r="C479" i="12"/>
  <c r="D479" i="12"/>
  <c r="E479" i="12"/>
  <c r="F479" i="12"/>
  <c r="G479" i="12"/>
  <c r="H479" i="12"/>
  <c r="I479" i="12"/>
  <c r="J479" i="12"/>
  <c r="L479" i="12"/>
  <c r="M479" i="12"/>
  <c r="N479" i="12"/>
  <c r="O479" i="12"/>
  <c r="P479" i="12"/>
  <c r="Q479" i="12"/>
  <c r="R479" i="12"/>
  <c r="S479" i="12"/>
  <c r="T133" i="12" l="1"/>
  <c r="U133" i="12" s="1"/>
  <c r="T107" i="12"/>
  <c r="U107" i="12" s="1"/>
  <c r="T103" i="12"/>
  <c r="U103" i="12" s="1"/>
  <c r="T115" i="12"/>
  <c r="U115" i="12" s="1"/>
  <c r="L16" i="13"/>
  <c r="K16" i="13"/>
  <c r="L20" i="13" l="1"/>
  <c r="B379" i="12" l="1"/>
  <c r="C379" i="12"/>
  <c r="D379" i="12"/>
  <c r="E379" i="12"/>
  <c r="F379" i="12"/>
  <c r="G379" i="12"/>
  <c r="H379" i="12"/>
  <c r="I379" i="12"/>
  <c r="J379" i="12"/>
  <c r="L379" i="12"/>
  <c r="M379" i="12"/>
  <c r="N379" i="12"/>
  <c r="O379" i="12"/>
  <c r="P379" i="12"/>
  <c r="Q379" i="12"/>
  <c r="R379" i="12"/>
  <c r="S379" i="12"/>
  <c r="K11" i="7" l="1"/>
  <c r="K10" i="7"/>
  <c r="K12" i="7"/>
  <c r="K4" i="7"/>
  <c r="K8" i="7"/>
  <c r="K7" i="7"/>
  <c r="K5" i="7"/>
  <c r="E220" i="4"/>
  <c r="B217" i="12"/>
  <c r="C217" i="12"/>
  <c r="D217" i="12"/>
  <c r="E217" i="12"/>
  <c r="F217" i="12"/>
  <c r="G217" i="12"/>
  <c r="H217" i="12"/>
  <c r="I217" i="12"/>
  <c r="J217" i="12"/>
  <c r="K217" i="12"/>
  <c r="L217" i="12"/>
  <c r="M217" i="12"/>
  <c r="N217" i="12"/>
  <c r="O217" i="12"/>
  <c r="P217" i="12"/>
  <c r="Q217" i="12"/>
  <c r="R217" i="12"/>
  <c r="S217" i="12"/>
  <c r="E285" i="4"/>
  <c r="B281" i="12"/>
  <c r="C281" i="12"/>
  <c r="D281" i="12"/>
  <c r="E281" i="12"/>
  <c r="F281" i="12"/>
  <c r="G281" i="12"/>
  <c r="H281" i="12"/>
  <c r="I281" i="12"/>
  <c r="J281" i="12"/>
  <c r="K281" i="12"/>
  <c r="L281" i="12"/>
  <c r="M281" i="12"/>
  <c r="N281" i="12"/>
  <c r="O281" i="12"/>
  <c r="P281" i="12"/>
  <c r="Q281" i="12"/>
  <c r="R281" i="12"/>
  <c r="S281" i="12"/>
  <c r="B247" i="12"/>
  <c r="C247" i="12"/>
  <c r="D247" i="12"/>
  <c r="E247" i="12"/>
  <c r="F247" i="12"/>
  <c r="G247" i="12"/>
  <c r="H247" i="12"/>
  <c r="I247" i="12"/>
  <c r="J247" i="12"/>
  <c r="K247" i="12"/>
  <c r="L247" i="12"/>
  <c r="M247" i="12"/>
  <c r="N247" i="12"/>
  <c r="O247" i="12"/>
  <c r="P247" i="12"/>
  <c r="Q247" i="12"/>
  <c r="R247" i="12"/>
  <c r="S247" i="12"/>
  <c r="E251" i="4"/>
  <c r="B31" i="12"/>
  <c r="C31" i="12"/>
  <c r="D31" i="12"/>
  <c r="E31" i="12"/>
  <c r="F31" i="12"/>
  <c r="G31" i="12"/>
  <c r="H31" i="12"/>
  <c r="I31" i="12"/>
  <c r="J31" i="12"/>
  <c r="K31" i="12"/>
  <c r="L31" i="12"/>
  <c r="M31" i="12"/>
  <c r="N31" i="12"/>
  <c r="O31" i="12"/>
  <c r="P31" i="12"/>
  <c r="Q31" i="12"/>
  <c r="R31" i="12"/>
  <c r="S31" i="12"/>
  <c r="E42" i="4"/>
  <c r="E157" i="4"/>
  <c r="B244" i="12"/>
  <c r="C244" i="12"/>
  <c r="D244" i="12"/>
  <c r="E244" i="12"/>
  <c r="F244" i="12"/>
  <c r="G244" i="12"/>
  <c r="H244" i="12"/>
  <c r="I244" i="12"/>
  <c r="J244" i="12"/>
  <c r="K244" i="12"/>
  <c r="L244" i="12"/>
  <c r="M244" i="12"/>
  <c r="N244" i="12"/>
  <c r="O244" i="12"/>
  <c r="P244" i="12"/>
  <c r="Q244" i="12"/>
  <c r="R244" i="12"/>
  <c r="S244" i="12"/>
  <c r="E248" i="4"/>
  <c r="B61" i="12"/>
  <c r="C61" i="12"/>
  <c r="D61" i="12"/>
  <c r="E61" i="12"/>
  <c r="F61" i="12"/>
  <c r="G61" i="12"/>
  <c r="H61" i="12"/>
  <c r="I61" i="12"/>
  <c r="J61" i="12"/>
  <c r="K61" i="12"/>
  <c r="L61" i="12"/>
  <c r="M61" i="12"/>
  <c r="N61" i="12"/>
  <c r="O61" i="12"/>
  <c r="P61" i="12"/>
  <c r="Q61" i="12"/>
  <c r="R61" i="12"/>
  <c r="S61" i="12"/>
  <c r="E73" i="4"/>
  <c r="B53" i="12"/>
  <c r="C53" i="12"/>
  <c r="D53" i="12"/>
  <c r="E53" i="12"/>
  <c r="F53" i="12"/>
  <c r="G53" i="12"/>
  <c r="H53" i="12"/>
  <c r="I53" i="12"/>
  <c r="J53" i="12"/>
  <c r="K53" i="12"/>
  <c r="L53" i="12"/>
  <c r="M53" i="12"/>
  <c r="N53" i="12"/>
  <c r="O53" i="12"/>
  <c r="P53" i="12"/>
  <c r="Q53" i="12"/>
  <c r="R53" i="12"/>
  <c r="S53" i="12"/>
  <c r="E56" i="4"/>
  <c r="B32" i="12"/>
  <c r="C32" i="12"/>
  <c r="D32" i="12"/>
  <c r="E32" i="12"/>
  <c r="F32" i="12"/>
  <c r="G32" i="12"/>
  <c r="H32" i="12"/>
  <c r="I32" i="12"/>
  <c r="J32" i="12"/>
  <c r="K32" i="12"/>
  <c r="L32" i="12"/>
  <c r="M32" i="12"/>
  <c r="N32" i="12"/>
  <c r="O32" i="12"/>
  <c r="P32" i="12"/>
  <c r="Q32" i="12"/>
  <c r="R32" i="12"/>
  <c r="S32" i="12"/>
  <c r="E43" i="4"/>
  <c r="S54" i="12"/>
  <c r="R54" i="12"/>
  <c r="Q54" i="12"/>
  <c r="P54" i="12"/>
  <c r="O54" i="12"/>
  <c r="N54" i="12"/>
  <c r="M54" i="12"/>
  <c r="L54" i="12"/>
  <c r="K54" i="12"/>
  <c r="J54" i="12"/>
  <c r="I54" i="12"/>
  <c r="H54" i="12"/>
  <c r="G54" i="12"/>
  <c r="F54" i="12"/>
  <c r="E54" i="12"/>
  <c r="D54" i="12"/>
  <c r="C54" i="12"/>
  <c r="B54" i="12"/>
  <c r="E57" i="4"/>
  <c r="B251" i="12"/>
  <c r="C251" i="12"/>
  <c r="D251" i="12"/>
  <c r="E251" i="12"/>
  <c r="F251" i="12"/>
  <c r="G251" i="12"/>
  <c r="H251" i="12"/>
  <c r="I251" i="12"/>
  <c r="J251" i="12"/>
  <c r="K251" i="12"/>
  <c r="L251" i="12"/>
  <c r="M251" i="12"/>
  <c r="N251" i="12"/>
  <c r="O251" i="12"/>
  <c r="P251" i="12"/>
  <c r="Q251" i="12"/>
  <c r="R251" i="12"/>
  <c r="S251" i="12"/>
  <c r="B252" i="12"/>
  <c r="C252" i="12"/>
  <c r="D252" i="12"/>
  <c r="E252" i="12"/>
  <c r="F252" i="12"/>
  <c r="G252" i="12"/>
  <c r="H252" i="12"/>
  <c r="I252" i="12"/>
  <c r="J252" i="12"/>
  <c r="K252" i="12"/>
  <c r="L252" i="12"/>
  <c r="M252" i="12"/>
  <c r="N252" i="12"/>
  <c r="O252" i="12"/>
  <c r="P252" i="12"/>
  <c r="Q252" i="12"/>
  <c r="R252" i="12"/>
  <c r="S252" i="12"/>
  <c r="B253" i="12"/>
  <c r="C253" i="12"/>
  <c r="D253" i="12"/>
  <c r="E253" i="12"/>
  <c r="F253" i="12"/>
  <c r="G253" i="12"/>
  <c r="H253" i="12"/>
  <c r="I253" i="12"/>
  <c r="J253" i="12"/>
  <c r="K253" i="12"/>
  <c r="L253" i="12"/>
  <c r="M253" i="12"/>
  <c r="N253" i="12"/>
  <c r="O253" i="12"/>
  <c r="P253" i="12"/>
  <c r="Q253" i="12"/>
  <c r="R253" i="12"/>
  <c r="S253" i="12"/>
  <c r="B254" i="12"/>
  <c r="C254" i="12"/>
  <c r="D254" i="12"/>
  <c r="E254" i="12"/>
  <c r="F254" i="12"/>
  <c r="G254" i="12"/>
  <c r="H254" i="12"/>
  <c r="I254" i="12"/>
  <c r="J254" i="12"/>
  <c r="K254" i="12"/>
  <c r="L254" i="12"/>
  <c r="M254" i="12"/>
  <c r="N254" i="12"/>
  <c r="O254" i="12"/>
  <c r="P254" i="12"/>
  <c r="Q254" i="12"/>
  <c r="R254" i="12"/>
  <c r="S254" i="12"/>
  <c r="B293" i="12"/>
  <c r="C293" i="12"/>
  <c r="D293" i="12"/>
  <c r="E293" i="12"/>
  <c r="F293" i="12"/>
  <c r="G293" i="12"/>
  <c r="H293" i="12"/>
  <c r="I293" i="12"/>
  <c r="J293" i="12"/>
  <c r="K293" i="12"/>
  <c r="L293" i="12"/>
  <c r="M293" i="12"/>
  <c r="N293" i="12"/>
  <c r="O293" i="12"/>
  <c r="P293" i="12"/>
  <c r="Q293" i="12"/>
  <c r="R293" i="12"/>
  <c r="S293" i="12"/>
  <c r="E261" i="4"/>
  <c r="E262" i="4"/>
  <c r="E263" i="4"/>
  <c r="E298" i="4"/>
  <c r="B126" i="12"/>
  <c r="C126" i="12"/>
  <c r="D126" i="12"/>
  <c r="E126" i="12"/>
  <c r="F126" i="12"/>
  <c r="G126" i="12"/>
  <c r="H126" i="12"/>
  <c r="I126" i="12"/>
  <c r="J126" i="12"/>
  <c r="K126" i="12"/>
  <c r="L126" i="12"/>
  <c r="M126" i="12"/>
  <c r="N126" i="12"/>
  <c r="O126" i="12"/>
  <c r="P126" i="12"/>
  <c r="Q126" i="12"/>
  <c r="R126" i="12"/>
  <c r="S126" i="12"/>
  <c r="E129" i="4"/>
  <c r="B190" i="12"/>
  <c r="C190" i="12"/>
  <c r="D190" i="12"/>
  <c r="E190" i="12"/>
  <c r="F190" i="12"/>
  <c r="G190" i="12"/>
  <c r="H190" i="12"/>
  <c r="I190" i="12"/>
  <c r="J190" i="12"/>
  <c r="K190" i="12"/>
  <c r="L190" i="12"/>
  <c r="M190" i="12"/>
  <c r="N190" i="12"/>
  <c r="O190" i="12"/>
  <c r="P190" i="12"/>
  <c r="Q190" i="12"/>
  <c r="R190" i="12"/>
  <c r="S190" i="12"/>
  <c r="B191" i="12"/>
  <c r="C191" i="12"/>
  <c r="D191" i="12"/>
  <c r="E191" i="12"/>
  <c r="F191" i="12"/>
  <c r="G191" i="12"/>
  <c r="H191" i="12"/>
  <c r="I191" i="12"/>
  <c r="J191" i="12"/>
  <c r="K191" i="12"/>
  <c r="L191" i="12"/>
  <c r="M191" i="12"/>
  <c r="N191" i="12"/>
  <c r="O191" i="12"/>
  <c r="P191" i="12"/>
  <c r="Q191" i="12"/>
  <c r="R191" i="12"/>
  <c r="S191" i="12"/>
  <c r="B192" i="12"/>
  <c r="C192" i="12"/>
  <c r="D192" i="12"/>
  <c r="E192" i="12"/>
  <c r="F192" i="12"/>
  <c r="G192" i="12"/>
  <c r="H192" i="12"/>
  <c r="I192" i="12"/>
  <c r="J192" i="12"/>
  <c r="K192" i="12"/>
  <c r="L192" i="12"/>
  <c r="M192" i="12"/>
  <c r="N192" i="12"/>
  <c r="O192" i="12"/>
  <c r="P192" i="12"/>
  <c r="Q192" i="12"/>
  <c r="R192" i="12"/>
  <c r="S192" i="12"/>
  <c r="B193" i="12"/>
  <c r="C193" i="12"/>
  <c r="D193" i="12"/>
  <c r="E193" i="12"/>
  <c r="F193" i="12"/>
  <c r="G193" i="12"/>
  <c r="H193" i="12"/>
  <c r="I193" i="12"/>
  <c r="J193" i="12"/>
  <c r="K193" i="12"/>
  <c r="L193" i="12"/>
  <c r="M193" i="12"/>
  <c r="N193" i="12"/>
  <c r="O193" i="12"/>
  <c r="P193" i="12"/>
  <c r="Q193" i="12"/>
  <c r="R193" i="12"/>
  <c r="S193" i="12"/>
  <c r="B194" i="12"/>
  <c r="C194" i="12"/>
  <c r="D194" i="12"/>
  <c r="E194" i="12"/>
  <c r="F194" i="12"/>
  <c r="G194" i="12"/>
  <c r="H194" i="12"/>
  <c r="I194" i="12"/>
  <c r="J194" i="12"/>
  <c r="K194" i="12"/>
  <c r="L194" i="12"/>
  <c r="M194" i="12"/>
  <c r="N194" i="12"/>
  <c r="O194" i="12"/>
  <c r="P194" i="12"/>
  <c r="Q194" i="12"/>
  <c r="R194" i="12"/>
  <c r="S194" i="12"/>
  <c r="B195" i="12"/>
  <c r="C195" i="12"/>
  <c r="D195" i="12"/>
  <c r="E195" i="12"/>
  <c r="F195" i="12"/>
  <c r="G195" i="12"/>
  <c r="H195" i="12"/>
  <c r="I195" i="12"/>
  <c r="J195" i="12"/>
  <c r="K195" i="12"/>
  <c r="L195" i="12"/>
  <c r="M195" i="12"/>
  <c r="N195" i="12"/>
  <c r="O195" i="12"/>
  <c r="P195" i="12"/>
  <c r="Q195" i="12"/>
  <c r="R195" i="12"/>
  <c r="S195" i="12"/>
  <c r="B196" i="12"/>
  <c r="C196" i="12"/>
  <c r="D196" i="12"/>
  <c r="E196" i="12"/>
  <c r="F196" i="12"/>
  <c r="G196" i="12"/>
  <c r="H196" i="12"/>
  <c r="I196" i="12"/>
  <c r="J196" i="12"/>
  <c r="K196" i="12"/>
  <c r="L196" i="12"/>
  <c r="M196" i="12"/>
  <c r="N196" i="12"/>
  <c r="O196" i="12"/>
  <c r="P196" i="12"/>
  <c r="Q196" i="12"/>
  <c r="R196" i="12"/>
  <c r="S196" i="12"/>
  <c r="B197" i="12"/>
  <c r="C197" i="12"/>
  <c r="D197" i="12"/>
  <c r="E197" i="12"/>
  <c r="F197" i="12"/>
  <c r="G197" i="12"/>
  <c r="H197" i="12"/>
  <c r="I197" i="12"/>
  <c r="J197" i="12"/>
  <c r="K197" i="12"/>
  <c r="L197" i="12"/>
  <c r="M197" i="12"/>
  <c r="N197" i="12"/>
  <c r="O197" i="12"/>
  <c r="P197" i="12"/>
  <c r="Q197" i="12"/>
  <c r="R197" i="12"/>
  <c r="S197" i="12"/>
  <c r="B198" i="12"/>
  <c r="C198" i="12"/>
  <c r="D198" i="12"/>
  <c r="E198" i="12"/>
  <c r="F198" i="12"/>
  <c r="G198" i="12"/>
  <c r="H198" i="12"/>
  <c r="I198" i="12"/>
  <c r="J198" i="12"/>
  <c r="K198" i="12"/>
  <c r="L198" i="12"/>
  <c r="M198" i="12"/>
  <c r="N198" i="12"/>
  <c r="O198" i="12"/>
  <c r="P198" i="12"/>
  <c r="Q198" i="12"/>
  <c r="R198" i="12"/>
  <c r="S198" i="12"/>
  <c r="E201" i="4"/>
  <c r="E200" i="4"/>
  <c r="E199" i="4"/>
  <c r="E198" i="4"/>
  <c r="E197" i="4"/>
  <c r="E196" i="4"/>
  <c r="E194" i="4"/>
  <c r="E195" i="4"/>
  <c r="E193" i="4"/>
  <c r="B153" i="12"/>
  <c r="C153" i="12"/>
  <c r="D153" i="12"/>
  <c r="E153" i="12"/>
  <c r="F153" i="12"/>
  <c r="G153" i="12"/>
  <c r="H153" i="12"/>
  <c r="I153" i="12"/>
  <c r="J153" i="12"/>
  <c r="K153" i="12"/>
  <c r="L153" i="12"/>
  <c r="M153" i="12"/>
  <c r="N153" i="12"/>
  <c r="O153" i="12"/>
  <c r="P153" i="12"/>
  <c r="Q153" i="12"/>
  <c r="R153" i="12"/>
  <c r="S153" i="12"/>
  <c r="E156" i="4"/>
  <c r="B65" i="12"/>
  <c r="C65" i="12"/>
  <c r="D65" i="12"/>
  <c r="E65" i="12"/>
  <c r="F65" i="12"/>
  <c r="G65" i="12"/>
  <c r="H65" i="12"/>
  <c r="I65" i="12"/>
  <c r="J65" i="12"/>
  <c r="K65" i="12"/>
  <c r="L65" i="12"/>
  <c r="M65" i="12"/>
  <c r="N65" i="12"/>
  <c r="O65" i="12"/>
  <c r="P65" i="12"/>
  <c r="Q65" i="12"/>
  <c r="R65" i="12"/>
  <c r="S65" i="12"/>
  <c r="E78" i="4"/>
  <c r="T217" i="12" l="1"/>
  <c r="U217" i="12" s="1"/>
  <c r="T281" i="12"/>
  <c r="U281" i="12" s="1"/>
  <c r="T247" i="12"/>
  <c r="U247" i="12" s="1"/>
  <c r="T244" i="12"/>
  <c r="U244" i="12" s="1"/>
  <c r="T31" i="12"/>
  <c r="U31" i="12" s="1"/>
  <c r="T61" i="12"/>
  <c r="U61" i="12" s="1"/>
  <c r="T53" i="12"/>
  <c r="U53" i="12" s="1"/>
  <c r="T32" i="12"/>
  <c r="U32" i="12" s="1"/>
  <c r="T54" i="12"/>
  <c r="U54" i="12" s="1"/>
  <c r="T252" i="12"/>
  <c r="U252" i="12" s="1"/>
  <c r="T253" i="12"/>
  <c r="U253" i="12" s="1"/>
  <c r="T254" i="12"/>
  <c r="U254" i="12" s="1"/>
  <c r="T251" i="12"/>
  <c r="U251" i="12" s="1"/>
  <c r="T153" i="12"/>
  <c r="U153" i="12" s="1"/>
  <c r="T195" i="12"/>
  <c r="U195" i="12" s="1"/>
  <c r="T293" i="12"/>
  <c r="U293" i="12" s="1"/>
  <c r="T126" i="12"/>
  <c r="U126" i="12" s="1"/>
  <c r="T191" i="12"/>
  <c r="U191" i="12" s="1"/>
  <c r="T196" i="12"/>
  <c r="U196" i="12" s="1"/>
  <c r="T192" i="12"/>
  <c r="U192" i="12" s="1"/>
  <c r="T197" i="12"/>
  <c r="U197" i="12" s="1"/>
  <c r="T193" i="12"/>
  <c r="U193" i="12" s="1"/>
  <c r="T65" i="12"/>
  <c r="U65" i="12" s="1"/>
  <c r="T198" i="12"/>
  <c r="U198" i="12" s="1"/>
  <c r="T194" i="12"/>
  <c r="U194" i="12" s="1"/>
  <c r="T190" i="12"/>
  <c r="U190" i="12" s="1"/>
  <c r="R26" i="14"/>
  <c r="R27" i="14"/>
  <c r="R28" i="14"/>
  <c r="R29" i="14"/>
  <c r="R30" i="14"/>
  <c r="R31" i="14"/>
  <c r="R32" i="14"/>
  <c r="R33" i="14"/>
  <c r="K230" i="7" l="1"/>
  <c r="K229" i="7"/>
  <c r="K228" i="7"/>
  <c r="K226" i="7"/>
  <c r="K227" i="7"/>
  <c r="K2" i="7"/>
  <c r="K63" i="7"/>
  <c r="K37" i="7"/>
  <c r="K17" i="7"/>
  <c r="K18" i="7"/>
  <c r="K19" i="7"/>
  <c r="K21" i="7"/>
  <c r="K22" i="7"/>
  <c r="K23" i="7"/>
  <c r="K24" i="7"/>
  <c r="K25" i="7"/>
  <c r="K27" i="7"/>
  <c r="K28" i="7"/>
  <c r="K29" i="7"/>
  <c r="K30" i="7"/>
  <c r="K31" i="7"/>
  <c r="K32" i="7"/>
  <c r="K33" i="7"/>
  <c r="K34" i="7"/>
  <c r="K35" i="7"/>
  <c r="K36" i="7"/>
  <c r="K16" i="7"/>
  <c r="K3" i="7"/>
  <c r="K6" i="7"/>
  <c r="J4" i="2" l="1"/>
  <c r="J3" i="2"/>
  <c r="AL4" i="2"/>
  <c r="AL3" i="2"/>
  <c r="L16" i="1" l="1"/>
  <c r="AL63" i="2"/>
  <c r="AL110" i="2"/>
  <c r="AL115" i="2" l="1"/>
  <c r="AL113" i="2"/>
  <c r="AL105" i="2"/>
  <c r="AL147" i="2"/>
  <c r="AL146" i="2"/>
  <c r="AL79" i="2"/>
  <c r="AL145" i="2"/>
  <c r="AL144" i="2"/>
  <c r="AL143" i="2"/>
  <c r="AL142" i="2"/>
  <c r="AL141" i="2"/>
  <c r="AL140" i="2"/>
  <c r="AL137" i="2"/>
  <c r="AL136" i="2"/>
  <c r="AL135" i="2"/>
  <c r="AL133" i="2"/>
  <c r="AL132" i="2"/>
  <c r="AL130" i="2"/>
  <c r="AL9" i="2"/>
  <c r="AL129" i="2"/>
  <c r="AL128" i="2"/>
  <c r="AL127" i="2"/>
  <c r="AL126" i="2"/>
  <c r="AL125" i="2"/>
  <c r="AL19" i="2"/>
  <c r="AL124" i="2"/>
  <c r="AL123" i="2"/>
  <c r="AL122" i="2"/>
  <c r="AL121" i="2"/>
  <c r="AL120" i="2"/>
  <c r="AL119" i="2"/>
  <c r="AL117" i="2"/>
  <c r="AL116" i="2"/>
  <c r="AL111" i="2"/>
  <c r="AL109" i="2"/>
  <c r="AL108" i="2"/>
  <c r="AL107" i="2"/>
  <c r="AL104" i="2"/>
  <c r="AL102" i="2"/>
  <c r="AL101" i="2"/>
  <c r="AL114" i="2"/>
  <c r="AL100" i="2"/>
  <c r="AL98" i="2"/>
  <c r="AL97" i="2"/>
  <c r="AL96" i="2"/>
  <c r="AL95" i="2"/>
  <c r="AL93" i="2"/>
  <c r="AL94" i="2"/>
  <c r="AL90" i="2"/>
  <c r="AL88" i="2"/>
  <c r="AL84" i="2"/>
  <c r="AL85" i="2"/>
  <c r="AL82" i="2"/>
  <c r="AL33" i="2"/>
  <c r="AL81" i="2"/>
  <c r="AL80" i="2"/>
  <c r="AL78" i="2"/>
  <c r="AL77" i="2"/>
  <c r="AL76" i="2"/>
  <c r="AL75" i="2"/>
  <c r="AL74" i="2"/>
  <c r="AL69" i="2"/>
  <c r="AL73" i="2"/>
  <c r="AL72" i="2"/>
  <c r="AL71" i="2"/>
  <c r="AL68" i="2"/>
  <c r="AL67" i="2"/>
  <c r="AL66" i="2"/>
  <c r="AL65" i="2"/>
  <c r="AL64" i="2"/>
  <c r="AL53" i="2"/>
  <c r="AL61" i="2"/>
  <c r="AL60" i="2"/>
  <c r="AL59" i="2"/>
  <c r="AL56" i="2"/>
  <c r="AL57" i="2"/>
  <c r="AL55" i="2"/>
  <c r="AL89" i="2"/>
  <c r="AL54" i="2"/>
  <c r="AL52" i="2"/>
  <c r="AL51" i="2"/>
  <c r="AL50" i="2"/>
  <c r="AL49" i="2"/>
  <c r="AL48" i="2"/>
  <c r="AL43" i="2"/>
  <c r="AL46" i="2"/>
  <c r="AL42" i="2"/>
  <c r="AL41" i="2"/>
  <c r="AL39" i="2"/>
  <c r="AL38" i="2"/>
  <c r="AL37" i="2"/>
  <c r="AL36" i="2"/>
  <c r="AL35" i="2"/>
  <c r="AL34" i="2"/>
  <c r="AL32" i="2"/>
  <c r="AL86" i="2"/>
  <c r="AL31" i="2"/>
  <c r="AL30" i="2"/>
  <c r="AL29" i="2"/>
  <c r="AL27" i="2"/>
  <c r="AL26" i="2"/>
  <c r="AL25" i="2"/>
  <c r="AL24" i="2"/>
  <c r="AL23" i="2"/>
  <c r="AL21" i="2"/>
  <c r="AL22" i="2"/>
  <c r="AL20" i="2"/>
  <c r="AL17" i="2"/>
  <c r="AL16" i="2"/>
  <c r="AL15" i="2"/>
  <c r="AL13" i="2"/>
  <c r="AL12" i="2"/>
  <c r="AL8" i="2"/>
  <c r="AL7" i="2"/>
  <c r="AL6" i="2"/>
  <c r="AL5" i="2"/>
  <c r="AD7" i="2"/>
  <c r="AB7" i="2"/>
  <c r="AD5" i="2"/>
  <c r="AB38" i="2"/>
  <c r="AB37" i="2"/>
  <c r="AB29" i="2"/>
  <c r="AB24" i="2"/>
  <c r="AB8" i="2"/>
  <c r="B516" i="12" l="1"/>
  <c r="C516" i="12"/>
  <c r="D516" i="12"/>
  <c r="E516" i="12"/>
  <c r="F516" i="12"/>
  <c r="G516" i="12"/>
  <c r="H516" i="12"/>
  <c r="I516" i="12"/>
  <c r="J516" i="12"/>
  <c r="L516" i="12"/>
  <c r="M516" i="12"/>
  <c r="N516" i="12"/>
  <c r="O516" i="12"/>
  <c r="P516" i="12"/>
  <c r="Q516" i="12"/>
  <c r="R516" i="12"/>
  <c r="S516" i="12"/>
  <c r="E241" i="4" l="1"/>
  <c r="E39" i="4"/>
  <c r="D92" i="15"/>
  <c r="F98" i="15"/>
  <c r="D98" i="15"/>
  <c r="F82" i="15"/>
  <c r="F75" i="15"/>
  <c r="D82" i="15"/>
  <c r="F80" i="15"/>
  <c r="D80" i="15"/>
  <c r="F67" i="15"/>
  <c r="F66" i="15"/>
  <c r="D67" i="15"/>
  <c r="F44" i="15"/>
  <c r="F36" i="15"/>
  <c r="D44" i="15"/>
  <c r="F32" i="15"/>
  <c r="D32" i="15"/>
  <c r="D14" i="15"/>
  <c r="D11" i="15"/>
  <c r="E125" i="4" l="1"/>
  <c r="E63" i="4"/>
  <c r="D106" i="15"/>
  <c r="D107" i="15"/>
  <c r="F83" i="15"/>
  <c r="D38" i="15"/>
  <c r="F73" i="15"/>
  <c r="D73" i="15"/>
  <c r="F28" i="15"/>
  <c r="D28" i="15"/>
  <c r="D31" i="15"/>
  <c r="F24" i="15"/>
  <c r="F25" i="15"/>
  <c r="F26" i="15"/>
  <c r="F27" i="15"/>
  <c r="F23" i="15"/>
  <c r="F10" i="15"/>
  <c r="D23" i="15"/>
  <c r="D24" i="15"/>
  <c r="D25" i="15"/>
  <c r="D26" i="15"/>
  <c r="D27" i="15"/>
  <c r="B481" i="12" l="1"/>
  <c r="C481" i="12"/>
  <c r="D481" i="12"/>
  <c r="E481" i="12"/>
  <c r="F481" i="12"/>
  <c r="G481" i="12"/>
  <c r="H481" i="12"/>
  <c r="I481" i="12"/>
  <c r="J481" i="12"/>
  <c r="L481" i="12"/>
  <c r="M481" i="12"/>
  <c r="N481" i="12"/>
  <c r="O481" i="12"/>
  <c r="P481" i="12"/>
  <c r="Q481" i="12"/>
  <c r="R481" i="12"/>
  <c r="S481" i="12"/>
  <c r="G37" i="14"/>
  <c r="G38" i="14"/>
  <c r="G39" i="14"/>
  <c r="F14" i="4"/>
  <c r="K14" i="13" l="1"/>
  <c r="F30" i="14"/>
  <c r="F31" i="14"/>
  <c r="F32" i="14"/>
  <c r="F33" i="14"/>
  <c r="BJ39" i="2"/>
  <c r="BJ40" i="2"/>
  <c r="BJ41" i="2"/>
  <c r="BJ42" i="2"/>
  <c r="BJ43" i="2"/>
  <c r="BJ44" i="2"/>
  <c r="BJ45" i="2"/>
  <c r="BJ46" i="2"/>
  <c r="X8" i="12"/>
  <c r="X9" i="12"/>
  <c r="X10" i="12"/>
  <c r="X11" i="12"/>
  <c r="X12" i="12"/>
  <c r="X13" i="12"/>
  <c r="X14" i="12"/>
  <c r="X15" i="12"/>
  <c r="X16" i="12"/>
  <c r="X7" i="12"/>
  <c r="W8" i="12"/>
  <c r="W9" i="12"/>
  <c r="W10" i="12"/>
  <c r="W11" i="12"/>
  <c r="W12" i="12"/>
  <c r="W13" i="12"/>
  <c r="W14" i="12"/>
  <c r="W15" i="12"/>
  <c r="W16" i="12"/>
  <c r="W7" i="12"/>
  <c r="X6" i="12" l="1"/>
  <c r="V8" i="12"/>
  <c r="V9" i="12"/>
  <c r="V10" i="12"/>
  <c r="V11" i="12"/>
  <c r="V12" i="12"/>
  <c r="V13" i="12"/>
  <c r="V14" i="12"/>
  <c r="V15" i="12"/>
  <c r="V16" i="12"/>
  <c r="V17" i="12"/>
  <c r="V18" i="12"/>
  <c r="V19" i="12"/>
  <c r="V7" i="12"/>
  <c r="W4" i="12"/>
  <c r="V6" i="12" l="1"/>
  <c r="B313" i="12"/>
  <c r="C313" i="12"/>
  <c r="D313" i="12"/>
  <c r="E313" i="12"/>
  <c r="F313" i="12"/>
  <c r="G313" i="12"/>
  <c r="H313" i="12"/>
  <c r="I313" i="12"/>
  <c r="J313" i="12"/>
  <c r="K313" i="12"/>
  <c r="L313" i="12"/>
  <c r="M313" i="12"/>
  <c r="N313" i="12"/>
  <c r="O313" i="12"/>
  <c r="P313" i="12"/>
  <c r="Q313" i="12"/>
  <c r="R313" i="12"/>
  <c r="S313" i="12"/>
  <c r="E317" i="4"/>
  <c r="D113" i="15"/>
  <c r="F89" i="15"/>
  <c r="D83" i="15"/>
  <c r="F72" i="15"/>
  <c r="F63" i="15"/>
  <c r="D72" i="15"/>
  <c r="D35" i="15"/>
  <c r="D30" i="15"/>
  <c r="D13" i="15"/>
  <c r="F9" i="15"/>
  <c r="F8" i="15"/>
  <c r="D9" i="15"/>
  <c r="D86" i="15"/>
  <c r="F84" i="15"/>
  <c r="F64" i="15"/>
  <c r="D84" i="15"/>
  <c r="F57" i="15"/>
  <c r="F61" i="15"/>
  <c r="D57" i="15"/>
  <c r="F17" i="15"/>
  <c r="D17" i="15"/>
  <c r="D3" i="15"/>
  <c r="B6" i="13"/>
  <c r="B5" i="13"/>
  <c r="U27" i="9"/>
  <c r="D111" i="15"/>
  <c r="D88" i="15"/>
  <c r="D81" i="15"/>
  <c r="P90" i="15"/>
  <c r="D2" i="15"/>
  <c r="T313" i="12" l="1"/>
  <c r="U313" i="12" s="1"/>
  <c r="P26" i="14"/>
  <c r="P27" i="14"/>
  <c r="P28" i="14"/>
  <c r="P29" i="14"/>
  <c r="P30" i="14"/>
  <c r="P31" i="14"/>
  <c r="P32" i="14"/>
  <c r="P33" i="14"/>
  <c r="N26" i="14"/>
  <c r="N27" i="14"/>
  <c r="N28" i="14"/>
  <c r="N29" i="14"/>
  <c r="N30" i="14"/>
  <c r="N31" i="14"/>
  <c r="N32" i="14"/>
  <c r="N33" i="14"/>
  <c r="M26" i="14"/>
  <c r="M27" i="14"/>
  <c r="M28" i="14"/>
  <c r="M29" i="14"/>
  <c r="M30" i="14"/>
  <c r="M31" i="14"/>
  <c r="M32" i="14"/>
  <c r="M33" i="14"/>
  <c r="W5" i="6" l="1"/>
  <c r="K12" i="6"/>
  <c r="K13" i="6"/>
  <c r="K14" i="6"/>
  <c r="W4" i="6"/>
  <c r="L4" i="6"/>
  <c r="L12" i="6"/>
  <c r="L13" i="6"/>
  <c r="L14" i="6"/>
  <c r="E12" i="6"/>
  <c r="E13" i="6"/>
  <c r="E14" i="6"/>
  <c r="D4" i="15"/>
  <c r="D7" i="15"/>
  <c r="D8" i="15"/>
  <c r="D10" i="15"/>
  <c r="D16" i="15"/>
  <c r="D12" i="15"/>
  <c r="D15" i="15"/>
  <c r="D29" i="15"/>
  <c r="D33" i="15"/>
  <c r="D36" i="15"/>
  <c r="D39" i="15"/>
  <c r="D40" i="15"/>
  <c r="D41" i="15"/>
  <c r="D42" i="15"/>
  <c r="D43" i="15"/>
  <c r="D47" i="15"/>
  <c r="D49" i="15"/>
  <c r="D51" i="15"/>
  <c r="D54" i="15"/>
  <c r="D55" i="15"/>
  <c r="D56" i="15"/>
  <c r="D58" i="15"/>
  <c r="D59" i="15"/>
  <c r="D60" i="15"/>
  <c r="D61" i="15"/>
  <c r="D62" i="15"/>
  <c r="D63" i="15"/>
  <c r="D64" i="15"/>
  <c r="D65" i="15"/>
  <c r="D66" i="15"/>
  <c r="D69" i="15"/>
  <c r="D70" i="15"/>
  <c r="D71" i="15"/>
  <c r="D74" i="15"/>
  <c r="D78" i="15"/>
  <c r="D79" i="15"/>
  <c r="D91" i="15"/>
  <c r="D89" i="15"/>
  <c r="D90" i="15"/>
  <c r="D93" i="15"/>
  <c r="D94" i="15"/>
  <c r="D95" i="15"/>
  <c r="D96" i="15"/>
  <c r="D102" i="15"/>
  <c r="D99" i="15"/>
  <c r="D103" i="15"/>
  <c r="D100" i="15"/>
  <c r="D101" i="15"/>
  <c r="D104" i="15"/>
  <c r="D105" i="15"/>
  <c r="D108" i="15"/>
  <c r="D109" i="15"/>
  <c r="D112" i="15"/>
  <c r="D6" i="15"/>
  <c r="D34" i="15"/>
  <c r="D45" i="15"/>
  <c r="D48" i="15"/>
  <c r="D50" i="15"/>
  <c r="D52" i="15"/>
  <c r="D53" i="15"/>
  <c r="D110" i="15"/>
  <c r="D85" i="15"/>
  <c r="D87" i="15"/>
  <c r="E314" i="4"/>
  <c r="E313" i="4"/>
  <c r="F112" i="15"/>
  <c r="F96" i="15"/>
  <c r="F95" i="15"/>
  <c r="F91" i="15"/>
  <c r="F90" i="15"/>
  <c r="F62" i="15"/>
  <c r="F41" i="15"/>
  <c r="F40" i="15"/>
  <c r="F4" i="15"/>
  <c r="B6" i="15" l="1"/>
  <c r="B34" i="15"/>
  <c r="B53" i="15"/>
  <c r="B50" i="15"/>
  <c r="B45" i="15"/>
  <c r="B87" i="15"/>
  <c r="B110" i="15"/>
  <c r="B52" i="15"/>
  <c r="B48" i="15"/>
  <c r="B325" i="12"/>
  <c r="C325" i="12"/>
  <c r="D325" i="12"/>
  <c r="E325" i="12"/>
  <c r="F325" i="12"/>
  <c r="G325" i="12"/>
  <c r="H325" i="12"/>
  <c r="I325" i="12"/>
  <c r="J325" i="12"/>
  <c r="K325" i="12"/>
  <c r="L325" i="12"/>
  <c r="M325" i="12"/>
  <c r="N325" i="12"/>
  <c r="O325" i="12"/>
  <c r="P325" i="12"/>
  <c r="Q325" i="12"/>
  <c r="R325" i="12"/>
  <c r="S325" i="12"/>
  <c r="E333" i="4"/>
  <c r="B321" i="12"/>
  <c r="C321" i="12"/>
  <c r="D321" i="12"/>
  <c r="E321" i="12"/>
  <c r="F321" i="12"/>
  <c r="G321" i="12"/>
  <c r="H321" i="12"/>
  <c r="I321" i="12"/>
  <c r="J321" i="12"/>
  <c r="K321" i="12"/>
  <c r="L321" i="12"/>
  <c r="M321" i="12"/>
  <c r="N321" i="12"/>
  <c r="O321" i="12"/>
  <c r="P321" i="12"/>
  <c r="Q321" i="12"/>
  <c r="R321" i="12"/>
  <c r="S321" i="12"/>
  <c r="B322" i="12"/>
  <c r="C322" i="12"/>
  <c r="D322" i="12"/>
  <c r="E322" i="12"/>
  <c r="F322" i="12"/>
  <c r="G322" i="12"/>
  <c r="H322" i="12"/>
  <c r="I322" i="12"/>
  <c r="J322" i="12"/>
  <c r="K322" i="12"/>
  <c r="L322" i="12"/>
  <c r="M322" i="12"/>
  <c r="N322" i="12"/>
  <c r="O322" i="12"/>
  <c r="P322" i="12"/>
  <c r="Q322" i="12"/>
  <c r="R322" i="12"/>
  <c r="S322" i="12"/>
  <c r="E326" i="4"/>
  <c r="E325" i="4"/>
  <c r="B116" i="12"/>
  <c r="C116" i="12"/>
  <c r="D116" i="12"/>
  <c r="E116" i="12"/>
  <c r="F116" i="12"/>
  <c r="G116" i="12"/>
  <c r="H116" i="12"/>
  <c r="I116" i="12"/>
  <c r="J116" i="12"/>
  <c r="K116" i="12"/>
  <c r="L116" i="12"/>
  <c r="M116" i="12"/>
  <c r="N116" i="12"/>
  <c r="O116" i="12"/>
  <c r="P116" i="12"/>
  <c r="Q116" i="12"/>
  <c r="R116" i="12"/>
  <c r="S116" i="12"/>
  <c r="E119" i="4"/>
  <c r="T325" i="12" l="1"/>
  <c r="U325" i="12" s="1"/>
  <c r="T321" i="12"/>
  <c r="U321" i="12" s="1"/>
  <c r="T322" i="12"/>
  <c r="U322" i="12" s="1"/>
  <c r="T116" i="12"/>
  <c r="U116" i="12" s="1"/>
  <c r="A22" i="14"/>
  <c r="A23" i="14"/>
  <c r="A24" i="14"/>
  <c r="A25" i="14"/>
  <c r="A26" i="14"/>
  <c r="A27" i="14"/>
  <c r="A28" i="14"/>
  <c r="A29" i="14"/>
  <c r="A30" i="14"/>
  <c r="A31" i="14"/>
  <c r="A32" i="14"/>
  <c r="A33" i="14"/>
  <c r="A21" i="14"/>
  <c r="Y4" i="12"/>
  <c r="X4" i="12"/>
  <c r="W22" i="1"/>
  <c r="W23" i="1"/>
  <c r="W24" i="1"/>
  <c r="W25" i="1"/>
  <c r="W26" i="1"/>
  <c r="W21" i="1"/>
  <c r="A21" i="1"/>
  <c r="A22" i="1"/>
  <c r="A23" i="1"/>
  <c r="A24" i="1"/>
  <c r="A25" i="1"/>
  <c r="A26" i="1"/>
  <c r="H25" i="1"/>
  <c r="AQ3" i="2" l="1"/>
  <c r="B44" i="12"/>
  <c r="C44" i="12"/>
  <c r="D44" i="12"/>
  <c r="E44" i="12"/>
  <c r="F44" i="12"/>
  <c r="G44" i="12"/>
  <c r="H44" i="12"/>
  <c r="I44" i="12"/>
  <c r="J44" i="12"/>
  <c r="K44" i="12"/>
  <c r="L44" i="12"/>
  <c r="M44" i="12"/>
  <c r="N44" i="12"/>
  <c r="O44" i="12"/>
  <c r="P44" i="12"/>
  <c r="Q44" i="12"/>
  <c r="R44" i="12"/>
  <c r="S44" i="12"/>
  <c r="W2" i="12"/>
  <c r="A79" i="4"/>
  <c r="E12" i="4"/>
  <c r="E10" i="4"/>
  <c r="E9" i="4"/>
  <c r="E13" i="4"/>
  <c r="E14" i="4"/>
  <c r="E15" i="4"/>
  <c r="E16" i="4"/>
  <c r="E17" i="4"/>
  <c r="E18" i="4"/>
  <c r="E19" i="4"/>
  <c r="E20" i="4"/>
  <c r="E21" i="4"/>
  <c r="E22" i="4"/>
  <c r="E23" i="4"/>
  <c r="E26" i="4"/>
  <c r="E27" i="4"/>
  <c r="E28" i="4"/>
  <c r="E29" i="4"/>
  <c r="E30" i="4"/>
  <c r="E32" i="4"/>
  <c r="E33" i="4"/>
  <c r="E34" i="4"/>
  <c r="E36" i="4"/>
  <c r="E40" i="4"/>
  <c r="E41" i="4"/>
  <c r="E46" i="4"/>
  <c r="E37" i="4"/>
  <c r="E38" i="4"/>
  <c r="E44" i="4"/>
  <c r="E45" i="4"/>
  <c r="E6" i="4"/>
  <c r="E7" i="4"/>
  <c r="E5" i="4"/>
  <c r="E4" i="4"/>
  <c r="E8" i="4"/>
  <c r="E47" i="4"/>
  <c r="E48" i="4"/>
  <c r="E49" i="4"/>
  <c r="E50" i="4"/>
  <c r="E51" i="4"/>
  <c r="E53" i="4"/>
  <c r="E54" i="4"/>
  <c r="E55" i="4"/>
  <c r="E60" i="4"/>
  <c r="E62" i="4"/>
  <c r="E61" i="4"/>
  <c r="E66" i="4"/>
  <c r="E74" i="4"/>
  <c r="E59" i="4"/>
  <c r="E65" i="4"/>
  <c r="E69" i="4"/>
  <c r="E70" i="4"/>
  <c r="E68" i="4"/>
  <c r="E67" i="4"/>
  <c r="E71" i="4"/>
  <c r="E79" i="4"/>
  <c r="E75" i="4"/>
  <c r="E82" i="4"/>
  <c r="E80" i="4"/>
  <c r="E83" i="4"/>
  <c r="E84" i="4"/>
  <c r="E85" i="4"/>
  <c r="E86" i="4"/>
  <c r="E87" i="4"/>
  <c r="E88" i="4"/>
  <c r="E91" i="4"/>
  <c r="E90" i="4"/>
  <c r="E89" i="4"/>
  <c r="E93" i="4"/>
  <c r="E92" i="4"/>
  <c r="E94" i="4"/>
  <c r="E95" i="4"/>
  <c r="E99" i="4"/>
  <c r="E100" i="4"/>
  <c r="E101" i="4"/>
  <c r="E102" i="4"/>
  <c r="E103" i="4"/>
  <c r="E104" i="4"/>
  <c r="E105" i="4"/>
  <c r="E107" i="4"/>
  <c r="E108" i="4"/>
  <c r="E113" i="4"/>
  <c r="E111" i="4"/>
  <c r="E112" i="4"/>
  <c r="E114" i="4"/>
  <c r="E115" i="4"/>
  <c r="E116" i="4"/>
  <c r="E117" i="4"/>
  <c r="E120" i="4"/>
  <c r="E121" i="4"/>
  <c r="E122" i="4"/>
  <c r="E124" i="4"/>
  <c r="E126" i="4"/>
  <c r="E127" i="4"/>
  <c r="E128" i="4"/>
  <c r="E130" i="4"/>
  <c r="E131" i="4"/>
  <c r="E132" i="4"/>
  <c r="E133" i="4"/>
  <c r="E134" i="4"/>
  <c r="E136" i="4"/>
  <c r="E137" i="4"/>
  <c r="E138" i="4"/>
  <c r="E139" i="4"/>
  <c r="E140" i="4"/>
  <c r="E141" i="4"/>
  <c r="E142" i="4"/>
  <c r="E143" i="4"/>
  <c r="E144" i="4"/>
  <c r="E145" i="4"/>
  <c r="E146" i="4"/>
  <c r="E147" i="4"/>
  <c r="E149" i="4"/>
  <c r="E151" i="4"/>
  <c r="E153" i="4"/>
  <c r="E154" i="4"/>
  <c r="E155" i="4"/>
  <c r="E158" i="4"/>
  <c r="E159" i="4"/>
  <c r="E160" i="4"/>
  <c r="E161" i="4"/>
  <c r="E162" i="4"/>
  <c r="E164" i="4"/>
  <c r="E170" i="4"/>
  <c r="E165" i="4"/>
  <c r="E169" i="4"/>
  <c r="E167" i="4"/>
  <c r="E168" i="4"/>
  <c r="E166" i="4"/>
  <c r="E174" i="4"/>
  <c r="E173" i="4"/>
  <c r="E172" i="4"/>
  <c r="E176" i="4"/>
  <c r="E177" i="4"/>
  <c r="E178" i="4"/>
  <c r="E179" i="4"/>
  <c r="E180" i="4"/>
  <c r="E181" i="4"/>
  <c r="E182" i="4"/>
  <c r="E185" i="4"/>
  <c r="E187" i="4"/>
  <c r="E188" i="4"/>
  <c r="E189" i="4"/>
  <c r="E190" i="4"/>
  <c r="E192" i="4"/>
  <c r="E191" i="4"/>
  <c r="E202" i="4"/>
  <c r="E204" i="4"/>
  <c r="E203" i="4"/>
  <c r="E205" i="4"/>
  <c r="E206" i="4"/>
  <c r="E207" i="4"/>
  <c r="E208" i="4"/>
  <c r="E209" i="4"/>
  <c r="E210" i="4"/>
  <c r="E214" i="4"/>
  <c r="E215" i="4"/>
  <c r="E211" i="4"/>
  <c r="E213" i="4"/>
  <c r="E212" i="4"/>
  <c r="E216" i="4"/>
  <c r="E218" i="4"/>
  <c r="E219" i="4"/>
  <c r="E222" i="4"/>
  <c r="E223" i="4"/>
  <c r="E225" i="4"/>
  <c r="E227" i="4"/>
  <c r="E228" i="4"/>
  <c r="E229" i="4"/>
  <c r="E232" i="4"/>
  <c r="E233" i="4"/>
  <c r="E234" i="4"/>
  <c r="E235" i="4"/>
  <c r="E236" i="4"/>
  <c r="E237" i="4"/>
  <c r="E238" i="4"/>
  <c r="E239" i="4"/>
  <c r="E240" i="4"/>
  <c r="E242" i="4"/>
  <c r="E110" i="4"/>
  <c r="E243" i="4"/>
  <c r="E244" i="4"/>
  <c r="E246" i="4"/>
  <c r="E247" i="4"/>
  <c r="E249" i="4"/>
  <c r="E250" i="4"/>
  <c r="E252" i="4"/>
  <c r="E253" i="4"/>
  <c r="E254" i="4"/>
  <c r="E255" i="4"/>
  <c r="E258" i="4"/>
  <c r="E259" i="4"/>
  <c r="E260" i="4"/>
  <c r="E256" i="4"/>
  <c r="E257" i="4"/>
  <c r="E265" i="4"/>
  <c r="E266" i="4"/>
  <c r="E269" i="4"/>
  <c r="E270" i="4"/>
  <c r="E272" i="4"/>
  <c r="E273" i="4"/>
  <c r="E274" i="4"/>
  <c r="E275" i="4"/>
  <c r="E276" i="4"/>
  <c r="E277" i="4"/>
  <c r="E279" i="4"/>
  <c r="E280" i="4"/>
  <c r="E281" i="4"/>
  <c r="E283" i="4"/>
  <c r="E286" i="4"/>
  <c r="E287" i="4"/>
  <c r="E288" i="4"/>
  <c r="E289" i="4"/>
  <c r="E293" i="4"/>
  <c r="E290" i="4"/>
  <c r="E292" i="4"/>
  <c r="E291" i="4"/>
  <c r="E294" i="4"/>
  <c r="E295" i="4"/>
  <c r="E296" i="4"/>
  <c r="E297" i="4"/>
  <c r="E299" i="4"/>
  <c r="E300" i="4"/>
  <c r="E302" i="4"/>
  <c r="E303" i="4"/>
  <c r="E304" i="4"/>
  <c r="E305" i="4"/>
  <c r="E306" i="4"/>
  <c r="E307" i="4"/>
  <c r="E308" i="4"/>
  <c r="E309" i="4"/>
  <c r="E310" i="4"/>
  <c r="E312" i="4"/>
  <c r="E316" i="4"/>
  <c r="E319" i="4"/>
  <c r="E320" i="4"/>
  <c r="E321" i="4"/>
  <c r="E323" i="4"/>
  <c r="E324" i="4"/>
  <c r="E327" i="4"/>
  <c r="E328" i="4"/>
  <c r="E334" i="4"/>
  <c r="E329" i="4"/>
  <c r="E331" i="4"/>
  <c r="E332" i="4"/>
  <c r="E11" i="4"/>
  <c r="B364" i="12"/>
  <c r="C364" i="12"/>
  <c r="D364" i="12"/>
  <c r="E364" i="12"/>
  <c r="F364" i="12"/>
  <c r="G364" i="12"/>
  <c r="H364" i="12"/>
  <c r="I364" i="12"/>
  <c r="J364" i="12"/>
  <c r="L364" i="12"/>
  <c r="M364" i="12"/>
  <c r="N364" i="12"/>
  <c r="O364" i="12"/>
  <c r="P364" i="12"/>
  <c r="Q364" i="12"/>
  <c r="R364" i="12"/>
  <c r="B365" i="12"/>
  <c r="C365" i="12"/>
  <c r="D365" i="12"/>
  <c r="E365" i="12"/>
  <c r="F365" i="12"/>
  <c r="G365" i="12"/>
  <c r="H365" i="12"/>
  <c r="I365" i="12"/>
  <c r="J365" i="12"/>
  <c r="L365" i="12"/>
  <c r="M365" i="12"/>
  <c r="N365" i="12"/>
  <c r="O365" i="12"/>
  <c r="P365" i="12"/>
  <c r="Q365" i="12"/>
  <c r="R365" i="12"/>
  <c r="L334" i="12"/>
  <c r="M334" i="12"/>
  <c r="N334" i="12"/>
  <c r="O334" i="12"/>
  <c r="P334" i="12"/>
  <c r="Q334" i="12"/>
  <c r="R334" i="12"/>
  <c r="L335" i="12"/>
  <c r="M335" i="12"/>
  <c r="N335" i="12"/>
  <c r="O335" i="12"/>
  <c r="P335" i="12"/>
  <c r="Q335" i="12"/>
  <c r="R335" i="12"/>
  <c r="L336" i="12"/>
  <c r="M336" i="12"/>
  <c r="N336" i="12"/>
  <c r="O336" i="12"/>
  <c r="P336" i="12"/>
  <c r="Q336" i="12"/>
  <c r="R336" i="12"/>
  <c r="L337" i="12"/>
  <c r="M337" i="12"/>
  <c r="N337" i="12"/>
  <c r="O337" i="12"/>
  <c r="P337" i="12"/>
  <c r="Q337" i="12"/>
  <c r="R337" i="12"/>
  <c r="L338" i="12"/>
  <c r="M338" i="12"/>
  <c r="N338" i="12"/>
  <c r="O338" i="12"/>
  <c r="P338" i="12"/>
  <c r="Q338" i="12"/>
  <c r="R338" i="12"/>
  <c r="L339" i="12"/>
  <c r="M339" i="12"/>
  <c r="N339" i="12"/>
  <c r="O339" i="12"/>
  <c r="P339" i="12"/>
  <c r="Q339" i="12"/>
  <c r="R339" i="12"/>
  <c r="L342" i="12"/>
  <c r="M342" i="12"/>
  <c r="N342" i="12"/>
  <c r="O342" i="12"/>
  <c r="P342" i="12"/>
  <c r="Q342" i="12"/>
  <c r="R342" i="12"/>
  <c r="L343" i="12"/>
  <c r="M343" i="12"/>
  <c r="N343" i="12"/>
  <c r="O343" i="12"/>
  <c r="P343" i="12"/>
  <c r="Q343" i="12"/>
  <c r="R343" i="12"/>
  <c r="L344" i="12"/>
  <c r="M344" i="12"/>
  <c r="N344" i="12"/>
  <c r="O344" i="12"/>
  <c r="P344" i="12"/>
  <c r="Q344" i="12"/>
  <c r="R344" i="12"/>
  <c r="L345" i="12"/>
  <c r="M345" i="12"/>
  <c r="N345" i="12"/>
  <c r="O345" i="12"/>
  <c r="P345" i="12"/>
  <c r="Q345" i="12"/>
  <c r="R345" i="12"/>
  <c r="L346" i="12"/>
  <c r="M346" i="12"/>
  <c r="N346" i="12"/>
  <c r="O346" i="12"/>
  <c r="P346" i="12"/>
  <c r="Q346" i="12"/>
  <c r="R346" i="12"/>
  <c r="L347" i="12"/>
  <c r="M347" i="12"/>
  <c r="N347" i="12"/>
  <c r="O347" i="12"/>
  <c r="P347" i="12"/>
  <c r="Q347" i="12"/>
  <c r="R347" i="12"/>
  <c r="L349" i="12"/>
  <c r="M349" i="12"/>
  <c r="N349" i="12"/>
  <c r="O349" i="12"/>
  <c r="P349" i="12"/>
  <c r="Q349" i="12"/>
  <c r="R349" i="12"/>
  <c r="L350" i="12"/>
  <c r="M350" i="12"/>
  <c r="N350" i="12"/>
  <c r="O350" i="12"/>
  <c r="P350" i="12"/>
  <c r="Q350" i="12"/>
  <c r="R350" i="12"/>
  <c r="L351" i="12"/>
  <c r="M351" i="12"/>
  <c r="N351" i="12"/>
  <c r="O351" i="12"/>
  <c r="P351" i="12"/>
  <c r="Q351" i="12"/>
  <c r="R351" i="12"/>
  <c r="L352" i="12"/>
  <c r="M352" i="12"/>
  <c r="N352" i="12"/>
  <c r="O352" i="12"/>
  <c r="P352" i="12"/>
  <c r="Q352" i="12"/>
  <c r="R352" i="12"/>
  <c r="L353" i="12"/>
  <c r="M353" i="12"/>
  <c r="N353" i="12"/>
  <c r="O353" i="12"/>
  <c r="P353" i="12"/>
  <c r="Q353" i="12"/>
  <c r="R353" i="12"/>
  <c r="L354" i="12"/>
  <c r="M354" i="12"/>
  <c r="N354" i="12"/>
  <c r="O354" i="12"/>
  <c r="P354" i="12"/>
  <c r="Q354" i="12"/>
  <c r="R354" i="12"/>
  <c r="L355" i="12"/>
  <c r="M355" i="12"/>
  <c r="N355" i="12"/>
  <c r="O355" i="12"/>
  <c r="P355" i="12"/>
  <c r="Q355" i="12"/>
  <c r="R355" i="12"/>
  <c r="L356" i="12"/>
  <c r="M356" i="12"/>
  <c r="N356" i="12"/>
  <c r="O356" i="12"/>
  <c r="P356" i="12"/>
  <c r="Q356" i="12"/>
  <c r="R356" i="12"/>
  <c r="L357" i="12"/>
  <c r="M357" i="12"/>
  <c r="N357" i="12"/>
  <c r="O357" i="12"/>
  <c r="P357" i="12"/>
  <c r="Q357" i="12"/>
  <c r="R357" i="12"/>
  <c r="L358" i="12"/>
  <c r="M358" i="12"/>
  <c r="N358" i="12"/>
  <c r="O358" i="12"/>
  <c r="P358" i="12"/>
  <c r="Q358" i="12"/>
  <c r="R358" i="12"/>
  <c r="L359" i="12"/>
  <c r="M359" i="12"/>
  <c r="N359" i="12"/>
  <c r="O359" i="12"/>
  <c r="P359" i="12"/>
  <c r="Q359" i="12"/>
  <c r="R359" i="12"/>
  <c r="L360" i="12"/>
  <c r="M360" i="12"/>
  <c r="N360" i="12"/>
  <c r="O360" i="12"/>
  <c r="P360" i="12"/>
  <c r="Q360" i="12"/>
  <c r="R360" i="12"/>
  <c r="L361" i="12"/>
  <c r="M361" i="12"/>
  <c r="N361" i="12"/>
  <c r="O361" i="12"/>
  <c r="P361" i="12"/>
  <c r="Q361" i="12"/>
  <c r="R361" i="12"/>
  <c r="L362" i="12"/>
  <c r="M362" i="12"/>
  <c r="N362" i="12"/>
  <c r="O362" i="12"/>
  <c r="P362" i="12"/>
  <c r="Q362" i="12"/>
  <c r="R362" i="12"/>
  <c r="L363" i="12"/>
  <c r="M363" i="12"/>
  <c r="N363" i="12"/>
  <c r="O363" i="12"/>
  <c r="P363" i="12"/>
  <c r="Q363" i="12"/>
  <c r="R363" i="12"/>
  <c r="L366" i="12"/>
  <c r="M366" i="12"/>
  <c r="N366" i="12"/>
  <c r="O366" i="12"/>
  <c r="P366" i="12"/>
  <c r="Q366" i="12"/>
  <c r="R366" i="12"/>
  <c r="L367" i="12"/>
  <c r="M367" i="12"/>
  <c r="N367" i="12"/>
  <c r="O367" i="12"/>
  <c r="P367" i="12"/>
  <c r="Q367" i="12"/>
  <c r="R367" i="12"/>
  <c r="L368" i="12"/>
  <c r="M368" i="12"/>
  <c r="N368" i="12"/>
  <c r="O368" i="12"/>
  <c r="P368" i="12"/>
  <c r="Q368" i="12"/>
  <c r="R368" i="12"/>
  <c r="L369" i="12"/>
  <c r="M369" i="12"/>
  <c r="N369" i="12"/>
  <c r="O369" i="12"/>
  <c r="P369" i="12"/>
  <c r="Q369" i="12"/>
  <c r="R369" i="12"/>
  <c r="L370" i="12"/>
  <c r="M370" i="12"/>
  <c r="N370" i="12"/>
  <c r="O370" i="12"/>
  <c r="P370" i="12"/>
  <c r="Q370" i="12"/>
  <c r="R370" i="12"/>
  <c r="L371" i="12"/>
  <c r="M371" i="12"/>
  <c r="N371" i="12"/>
  <c r="O371" i="12"/>
  <c r="P371" i="12"/>
  <c r="Q371" i="12"/>
  <c r="R371" i="12"/>
  <c r="L372" i="12"/>
  <c r="M372" i="12"/>
  <c r="N372" i="12"/>
  <c r="O372" i="12"/>
  <c r="P372" i="12"/>
  <c r="Q372" i="12"/>
  <c r="R372" i="12"/>
  <c r="L373" i="12"/>
  <c r="M373" i="12"/>
  <c r="N373" i="12"/>
  <c r="O373" i="12"/>
  <c r="P373" i="12"/>
  <c r="Q373" i="12"/>
  <c r="R373" i="12"/>
  <c r="L374" i="12"/>
  <c r="M374" i="12"/>
  <c r="N374" i="12"/>
  <c r="O374" i="12"/>
  <c r="P374" i="12"/>
  <c r="Q374" i="12"/>
  <c r="R374" i="12"/>
  <c r="L375" i="12"/>
  <c r="M375" i="12"/>
  <c r="N375" i="12"/>
  <c r="O375" i="12"/>
  <c r="P375" i="12"/>
  <c r="Q375" i="12"/>
  <c r="R375" i="12"/>
  <c r="L376" i="12"/>
  <c r="M376" i="12"/>
  <c r="N376" i="12"/>
  <c r="O376" i="12"/>
  <c r="P376" i="12"/>
  <c r="Q376" i="12"/>
  <c r="R376" i="12"/>
  <c r="L377" i="12"/>
  <c r="M377" i="12"/>
  <c r="N377" i="12"/>
  <c r="O377" i="12"/>
  <c r="P377" i="12"/>
  <c r="Q377" i="12"/>
  <c r="R377" i="12"/>
  <c r="L378" i="12"/>
  <c r="M378" i="12"/>
  <c r="N378" i="12"/>
  <c r="O378" i="12"/>
  <c r="P378" i="12"/>
  <c r="Q378" i="12"/>
  <c r="R378" i="12"/>
  <c r="L380" i="12"/>
  <c r="M380" i="12"/>
  <c r="N380" i="12"/>
  <c r="O380" i="12"/>
  <c r="P380" i="12"/>
  <c r="Q380" i="12"/>
  <c r="R380" i="12"/>
  <c r="L381" i="12"/>
  <c r="M381" i="12"/>
  <c r="N381" i="12"/>
  <c r="O381" i="12"/>
  <c r="P381" i="12"/>
  <c r="Q381" i="12"/>
  <c r="R381" i="12"/>
  <c r="L382" i="12"/>
  <c r="M382" i="12"/>
  <c r="N382" i="12"/>
  <c r="O382" i="12"/>
  <c r="P382" i="12"/>
  <c r="Q382" i="12"/>
  <c r="R382" i="12"/>
  <c r="L383" i="12"/>
  <c r="M383" i="12"/>
  <c r="N383" i="12"/>
  <c r="O383" i="12"/>
  <c r="P383" i="12"/>
  <c r="Q383" i="12"/>
  <c r="R383" i="12"/>
  <c r="L384" i="12"/>
  <c r="M384" i="12"/>
  <c r="N384" i="12"/>
  <c r="O384" i="12"/>
  <c r="P384" i="12"/>
  <c r="Q384" i="12"/>
  <c r="R384" i="12"/>
  <c r="L385" i="12"/>
  <c r="M385" i="12"/>
  <c r="N385" i="12"/>
  <c r="O385" i="12"/>
  <c r="P385" i="12"/>
  <c r="Q385" i="12"/>
  <c r="R385" i="12"/>
  <c r="L386" i="12"/>
  <c r="M386" i="12"/>
  <c r="N386" i="12"/>
  <c r="O386" i="12"/>
  <c r="P386" i="12"/>
  <c r="Q386" i="12"/>
  <c r="R386" i="12"/>
  <c r="L387" i="12"/>
  <c r="M387" i="12"/>
  <c r="N387" i="12"/>
  <c r="O387" i="12"/>
  <c r="P387" i="12"/>
  <c r="Q387" i="12"/>
  <c r="R387" i="12"/>
  <c r="L388" i="12"/>
  <c r="M388" i="12"/>
  <c r="N388" i="12"/>
  <c r="O388" i="12"/>
  <c r="P388" i="12"/>
  <c r="Q388" i="12"/>
  <c r="R388" i="12"/>
  <c r="L389" i="12"/>
  <c r="M389" i="12"/>
  <c r="N389" i="12"/>
  <c r="O389" i="12"/>
  <c r="P389" i="12"/>
  <c r="Q389" i="12"/>
  <c r="R389" i="12"/>
  <c r="L390" i="12"/>
  <c r="M390" i="12"/>
  <c r="N390" i="12"/>
  <c r="O390" i="12"/>
  <c r="P390" i="12"/>
  <c r="Q390" i="12"/>
  <c r="R390" i="12"/>
  <c r="L391" i="12"/>
  <c r="M391" i="12"/>
  <c r="N391" i="12"/>
  <c r="O391" i="12"/>
  <c r="P391" i="12"/>
  <c r="Q391" i="12"/>
  <c r="R391" i="12"/>
  <c r="L392" i="12"/>
  <c r="M392" i="12"/>
  <c r="N392" i="12"/>
  <c r="O392" i="12"/>
  <c r="P392" i="12"/>
  <c r="Q392" i="12"/>
  <c r="R392" i="12"/>
  <c r="L393" i="12"/>
  <c r="M393" i="12"/>
  <c r="N393" i="12"/>
  <c r="O393" i="12"/>
  <c r="P393" i="12"/>
  <c r="Q393" i="12"/>
  <c r="R393" i="12"/>
  <c r="L394" i="12"/>
  <c r="M394" i="12"/>
  <c r="N394" i="12"/>
  <c r="O394" i="12"/>
  <c r="P394" i="12"/>
  <c r="Q394" i="12"/>
  <c r="R394" i="12"/>
  <c r="L395" i="12"/>
  <c r="M395" i="12"/>
  <c r="N395" i="12"/>
  <c r="O395" i="12"/>
  <c r="P395" i="12"/>
  <c r="Q395" i="12"/>
  <c r="R395" i="12"/>
  <c r="L396" i="12"/>
  <c r="M396" i="12"/>
  <c r="N396" i="12"/>
  <c r="O396" i="12"/>
  <c r="P396" i="12"/>
  <c r="Q396" i="12"/>
  <c r="R396" i="12"/>
  <c r="L397" i="12"/>
  <c r="M397" i="12"/>
  <c r="N397" i="12"/>
  <c r="O397" i="12"/>
  <c r="P397" i="12"/>
  <c r="Q397" i="12"/>
  <c r="R397" i="12"/>
  <c r="L398" i="12"/>
  <c r="M398" i="12"/>
  <c r="N398" i="12"/>
  <c r="O398" i="12"/>
  <c r="P398" i="12"/>
  <c r="Q398" i="12"/>
  <c r="R398" i="12"/>
  <c r="L399" i="12"/>
  <c r="M399" i="12"/>
  <c r="N399" i="12"/>
  <c r="O399" i="12"/>
  <c r="P399" i="12"/>
  <c r="Q399" i="12"/>
  <c r="R399" i="12"/>
  <c r="L400" i="12"/>
  <c r="M400" i="12"/>
  <c r="N400" i="12"/>
  <c r="O400" i="12"/>
  <c r="P400" i="12"/>
  <c r="Q400" i="12"/>
  <c r="R400" i="12"/>
  <c r="L401" i="12"/>
  <c r="M401" i="12"/>
  <c r="N401" i="12"/>
  <c r="O401" i="12"/>
  <c r="P401" i="12"/>
  <c r="Q401" i="12"/>
  <c r="R401" i="12"/>
  <c r="L402" i="12"/>
  <c r="M402" i="12"/>
  <c r="N402" i="12"/>
  <c r="O402" i="12"/>
  <c r="P402" i="12"/>
  <c r="Q402" i="12"/>
  <c r="R402" i="12"/>
  <c r="L403" i="12"/>
  <c r="M403" i="12"/>
  <c r="N403" i="12"/>
  <c r="O403" i="12"/>
  <c r="P403" i="12"/>
  <c r="Q403" i="12"/>
  <c r="R403" i="12"/>
  <c r="L404" i="12"/>
  <c r="M404" i="12"/>
  <c r="N404" i="12"/>
  <c r="O404" i="12"/>
  <c r="P404" i="12"/>
  <c r="Q404" i="12"/>
  <c r="R404" i="12"/>
  <c r="L405" i="12"/>
  <c r="M405" i="12"/>
  <c r="N405" i="12"/>
  <c r="O405" i="12"/>
  <c r="P405" i="12"/>
  <c r="Q405" i="12"/>
  <c r="R405" i="12"/>
  <c r="L406" i="12"/>
  <c r="M406" i="12"/>
  <c r="N406" i="12"/>
  <c r="O406" i="12"/>
  <c r="P406" i="12"/>
  <c r="Q406" i="12"/>
  <c r="R406" i="12"/>
  <c r="L407" i="12"/>
  <c r="M407" i="12"/>
  <c r="N407" i="12"/>
  <c r="O407" i="12"/>
  <c r="P407" i="12"/>
  <c r="Q407" i="12"/>
  <c r="R407" i="12"/>
  <c r="L408" i="12"/>
  <c r="M408" i="12"/>
  <c r="N408" i="12"/>
  <c r="O408" i="12"/>
  <c r="P408" i="12"/>
  <c r="Q408" i="12"/>
  <c r="R408" i="12"/>
  <c r="L409" i="12"/>
  <c r="M409" i="12"/>
  <c r="N409" i="12"/>
  <c r="O409" i="12"/>
  <c r="P409" i="12"/>
  <c r="Q409" i="12"/>
  <c r="R409" i="12"/>
  <c r="L410" i="12"/>
  <c r="M410" i="12"/>
  <c r="N410" i="12"/>
  <c r="O410" i="12"/>
  <c r="P410" i="12"/>
  <c r="Q410" i="12"/>
  <c r="R410" i="12"/>
  <c r="L411" i="12"/>
  <c r="M411" i="12"/>
  <c r="N411" i="12"/>
  <c r="O411" i="12"/>
  <c r="P411" i="12"/>
  <c r="Q411" i="12"/>
  <c r="R411" i="12"/>
  <c r="L412" i="12"/>
  <c r="M412" i="12"/>
  <c r="N412" i="12"/>
  <c r="O412" i="12"/>
  <c r="P412" i="12"/>
  <c r="Q412" i="12"/>
  <c r="R412" i="12"/>
  <c r="L413" i="12"/>
  <c r="M413" i="12"/>
  <c r="N413" i="12"/>
  <c r="O413" i="12"/>
  <c r="P413" i="12"/>
  <c r="Q413" i="12"/>
  <c r="R413" i="12"/>
  <c r="L414" i="12"/>
  <c r="M414" i="12"/>
  <c r="N414" i="12"/>
  <c r="O414" i="12"/>
  <c r="P414" i="12"/>
  <c r="Q414" i="12"/>
  <c r="R414" i="12"/>
  <c r="L416" i="12"/>
  <c r="M416" i="12"/>
  <c r="N416" i="12"/>
  <c r="O416" i="12"/>
  <c r="P416" i="12"/>
  <c r="Q416" i="12"/>
  <c r="R416" i="12"/>
  <c r="L417" i="12"/>
  <c r="M417" i="12"/>
  <c r="N417" i="12"/>
  <c r="O417" i="12"/>
  <c r="P417" i="12"/>
  <c r="Q417" i="12"/>
  <c r="R417" i="12"/>
  <c r="L418" i="12"/>
  <c r="M418" i="12"/>
  <c r="N418" i="12"/>
  <c r="O418" i="12"/>
  <c r="P418" i="12"/>
  <c r="Q418" i="12"/>
  <c r="R418" i="12"/>
  <c r="L419" i="12"/>
  <c r="M419" i="12"/>
  <c r="N419" i="12"/>
  <c r="O419" i="12"/>
  <c r="P419" i="12"/>
  <c r="Q419" i="12"/>
  <c r="R419" i="12"/>
  <c r="L420" i="12"/>
  <c r="M420" i="12"/>
  <c r="N420" i="12"/>
  <c r="O420" i="12"/>
  <c r="P420" i="12"/>
  <c r="Q420" i="12"/>
  <c r="R420" i="12"/>
  <c r="L421" i="12"/>
  <c r="M421" i="12"/>
  <c r="N421" i="12"/>
  <c r="O421" i="12"/>
  <c r="P421" i="12"/>
  <c r="Q421" i="12"/>
  <c r="R421" i="12"/>
  <c r="L422" i="12"/>
  <c r="M422" i="12"/>
  <c r="N422" i="12"/>
  <c r="O422" i="12"/>
  <c r="P422" i="12"/>
  <c r="Q422" i="12"/>
  <c r="R422" i="12"/>
  <c r="L423" i="12"/>
  <c r="M423" i="12"/>
  <c r="N423" i="12"/>
  <c r="O423" i="12"/>
  <c r="P423" i="12"/>
  <c r="Q423" i="12"/>
  <c r="R423" i="12"/>
  <c r="L424" i="12"/>
  <c r="M424" i="12"/>
  <c r="N424" i="12"/>
  <c r="O424" i="12"/>
  <c r="P424" i="12"/>
  <c r="Q424" i="12"/>
  <c r="R424" i="12"/>
  <c r="L425" i="12"/>
  <c r="M425" i="12"/>
  <c r="N425" i="12"/>
  <c r="O425" i="12"/>
  <c r="P425" i="12"/>
  <c r="Q425" i="12"/>
  <c r="R425" i="12"/>
  <c r="L426" i="12"/>
  <c r="M426" i="12"/>
  <c r="N426" i="12"/>
  <c r="O426" i="12"/>
  <c r="P426" i="12"/>
  <c r="Q426" i="12"/>
  <c r="R426" i="12"/>
  <c r="L427" i="12"/>
  <c r="M427" i="12"/>
  <c r="N427" i="12"/>
  <c r="O427" i="12"/>
  <c r="P427" i="12"/>
  <c r="Q427" i="12"/>
  <c r="R427" i="12"/>
  <c r="L428" i="12"/>
  <c r="M428" i="12"/>
  <c r="N428" i="12"/>
  <c r="O428" i="12"/>
  <c r="P428" i="12"/>
  <c r="Q428" i="12"/>
  <c r="R428" i="12"/>
  <c r="L429" i="12"/>
  <c r="M429" i="12"/>
  <c r="N429" i="12"/>
  <c r="O429" i="12"/>
  <c r="P429" i="12"/>
  <c r="Q429" i="12"/>
  <c r="R429" i="12"/>
  <c r="L430" i="12"/>
  <c r="M430" i="12"/>
  <c r="N430" i="12"/>
  <c r="O430" i="12"/>
  <c r="P430" i="12"/>
  <c r="Q430" i="12"/>
  <c r="R430" i="12"/>
  <c r="L431" i="12"/>
  <c r="M431" i="12"/>
  <c r="N431" i="12"/>
  <c r="O431" i="12"/>
  <c r="P431" i="12"/>
  <c r="Q431" i="12"/>
  <c r="R431" i="12"/>
  <c r="L432" i="12"/>
  <c r="M432" i="12"/>
  <c r="N432" i="12"/>
  <c r="O432" i="12"/>
  <c r="P432" i="12"/>
  <c r="Q432" i="12"/>
  <c r="R432" i="12"/>
  <c r="L433" i="12"/>
  <c r="M433" i="12"/>
  <c r="N433" i="12"/>
  <c r="O433" i="12"/>
  <c r="P433" i="12"/>
  <c r="Q433" i="12"/>
  <c r="R433" i="12"/>
  <c r="L434" i="12"/>
  <c r="M434" i="12"/>
  <c r="N434" i="12"/>
  <c r="O434" i="12"/>
  <c r="P434" i="12"/>
  <c r="Q434" i="12"/>
  <c r="R434" i="12"/>
  <c r="L435" i="12"/>
  <c r="M435" i="12"/>
  <c r="N435" i="12"/>
  <c r="O435" i="12"/>
  <c r="P435" i="12"/>
  <c r="Q435" i="12"/>
  <c r="R435" i="12"/>
  <c r="L436" i="12"/>
  <c r="M436" i="12"/>
  <c r="N436" i="12"/>
  <c r="O436" i="12"/>
  <c r="P436" i="12"/>
  <c r="Q436" i="12"/>
  <c r="R436" i="12"/>
  <c r="L437" i="12"/>
  <c r="M437" i="12"/>
  <c r="N437" i="12"/>
  <c r="O437" i="12"/>
  <c r="P437" i="12"/>
  <c r="Q437" i="12"/>
  <c r="R437" i="12"/>
  <c r="L438" i="12"/>
  <c r="M438" i="12"/>
  <c r="N438" i="12"/>
  <c r="O438" i="12"/>
  <c r="P438" i="12"/>
  <c r="Q438" i="12"/>
  <c r="R438" i="12"/>
  <c r="L439" i="12"/>
  <c r="M439" i="12"/>
  <c r="N439" i="12"/>
  <c r="O439" i="12"/>
  <c r="P439" i="12"/>
  <c r="Q439" i="12"/>
  <c r="R439" i="12"/>
  <c r="L440" i="12"/>
  <c r="M440" i="12"/>
  <c r="N440" i="12"/>
  <c r="O440" i="12"/>
  <c r="P440" i="12"/>
  <c r="Q440" i="12"/>
  <c r="R440" i="12"/>
  <c r="L441" i="12"/>
  <c r="M441" i="12"/>
  <c r="N441" i="12"/>
  <c r="O441" i="12"/>
  <c r="P441" i="12"/>
  <c r="Q441" i="12"/>
  <c r="R441" i="12"/>
  <c r="L442" i="12"/>
  <c r="M442" i="12"/>
  <c r="N442" i="12"/>
  <c r="O442" i="12"/>
  <c r="P442" i="12"/>
  <c r="Q442" i="12"/>
  <c r="R442" i="12"/>
  <c r="L443" i="12"/>
  <c r="M443" i="12"/>
  <c r="N443" i="12"/>
  <c r="O443" i="12"/>
  <c r="P443" i="12"/>
  <c r="Q443" i="12"/>
  <c r="R443" i="12"/>
  <c r="L444" i="12"/>
  <c r="M444" i="12"/>
  <c r="N444" i="12"/>
  <c r="O444" i="12"/>
  <c r="P444" i="12"/>
  <c r="Q444" i="12"/>
  <c r="R444" i="12"/>
  <c r="L445" i="12"/>
  <c r="M445" i="12"/>
  <c r="N445" i="12"/>
  <c r="O445" i="12"/>
  <c r="P445" i="12"/>
  <c r="Q445" i="12"/>
  <c r="R445" i="12"/>
  <c r="L446" i="12"/>
  <c r="M446" i="12"/>
  <c r="N446" i="12"/>
  <c r="O446" i="12"/>
  <c r="P446" i="12"/>
  <c r="Q446" i="12"/>
  <c r="R446" i="12"/>
  <c r="L447" i="12"/>
  <c r="M447" i="12"/>
  <c r="N447" i="12"/>
  <c r="O447" i="12"/>
  <c r="P447" i="12"/>
  <c r="Q447" i="12"/>
  <c r="R447" i="12"/>
  <c r="L448" i="12"/>
  <c r="M448" i="12"/>
  <c r="N448" i="12"/>
  <c r="O448" i="12"/>
  <c r="P448" i="12"/>
  <c r="Q448" i="12"/>
  <c r="R448" i="12"/>
  <c r="L449" i="12"/>
  <c r="M449" i="12"/>
  <c r="N449" i="12"/>
  <c r="O449" i="12"/>
  <c r="P449" i="12"/>
  <c r="Q449" i="12"/>
  <c r="R449" i="12"/>
  <c r="L450" i="12"/>
  <c r="M450" i="12"/>
  <c r="N450" i="12"/>
  <c r="O450" i="12"/>
  <c r="P450" i="12"/>
  <c r="Q450" i="12"/>
  <c r="R450" i="12"/>
  <c r="L451" i="12"/>
  <c r="M451" i="12"/>
  <c r="N451" i="12"/>
  <c r="O451" i="12"/>
  <c r="P451" i="12"/>
  <c r="Q451" i="12"/>
  <c r="R451" i="12"/>
  <c r="L452" i="12"/>
  <c r="M452" i="12"/>
  <c r="N452" i="12"/>
  <c r="O452" i="12"/>
  <c r="P452" i="12"/>
  <c r="Q452" i="12"/>
  <c r="R452" i="12"/>
  <c r="L453" i="12"/>
  <c r="M453" i="12"/>
  <c r="N453" i="12"/>
  <c r="O453" i="12"/>
  <c r="P453" i="12"/>
  <c r="Q453" i="12"/>
  <c r="R453" i="12"/>
  <c r="L454" i="12"/>
  <c r="M454" i="12"/>
  <c r="N454" i="12"/>
  <c r="O454" i="12"/>
  <c r="P454" i="12"/>
  <c r="Q454" i="12"/>
  <c r="R454" i="12"/>
  <c r="L455" i="12"/>
  <c r="M455" i="12"/>
  <c r="N455" i="12"/>
  <c r="O455" i="12"/>
  <c r="P455" i="12"/>
  <c r="Q455" i="12"/>
  <c r="R455" i="12"/>
  <c r="L456" i="12"/>
  <c r="M456" i="12"/>
  <c r="N456" i="12"/>
  <c r="O456" i="12"/>
  <c r="P456" i="12"/>
  <c r="Q456" i="12"/>
  <c r="R456" i="12"/>
  <c r="L457" i="12"/>
  <c r="M457" i="12"/>
  <c r="N457" i="12"/>
  <c r="O457" i="12"/>
  <c r="P457" i="12"/>
  <c r="Q457" i="12"/>
  <c r="R457" i="12"/>
  <c r="L458" i="12"/>
  <c r="M458" i="12"/>
  <c r="N458" i="12"/>
  <c r="O458" i="12"/>
  <c r="P458" i="12"/>
  <c r="Q458" i="12"/>
  <c r="R458" i="12"/>
  <c r="L459" i="12"/>
  <c r="M459" i="12"/>
  <c r="N459" i="12"/>
  <c r="O459" i="12"/>
  <c r="P459" i="12"/>
  <c r="Q459" i="12"/>
  <c r="R459" i="12"/>
  <c r="L460" i="12"/>
  <c r="M460" i="12"/>
  <c r="N460" i="12"/>
  <c r="O460" i="12"/>
  <c r="P460" i="12"/>
  <c r="Q460" i="12"/>
  <c r="R460" i="12"/>
  <c r="L461" i="12"/>
  <c r="M461" i="12"/>
  <c r="N461" i="12"/>
  <c r="O461" i="12"/>
  <c r="P461" i="12"/>
  <c r="Q461" i="12"/>
  <c r="R461" i="12"/>
  <c r="L462" i="12"/>
  <c r="M462" i="12"/>
  <c r="N462" i="12"/>
  <c r="O462" i="12"/>
  <c r="P462" i="12"/>
  <c r="Q462" i="12"/>
  <c r="R462" i="12"/>
  <c r="L463" i="12"/>
  <c r="M463" i="12"/>
  <c r="N463" i="12"/>
  <c r="O463" i="12"/>
  <c r="P463" i="12"/>
  <c r="Q463" i="12"/>
  <c r="R463" i="12"/>
  <c r="L464" i="12"/>
  <c r="M464" i="12"/>
  <c r="N464" i="12"/>
  <c r="O464" i="12"/>
  <c r="P464" i="12"/>
  <c r="Q464" i="12"/>
  <c r="R464" i="12"/>
  <c r="L465" i="12"/>
  <c r="M465" i="12"/>
  <c r="N465" i="12"/>
  <c r="O465" i="12"/>
  <c r="P465" i="12"/>
  <c r="Q465" i="12"/>
  <c r="R465" i="12"/>
  <c r="L467" i="12"/>
  <c r="M467" i="12"/>
  <c r="N467" i="12"/>
  <c r="O467" i="12"/>
  <c r="P467" i="12"/>
  <c r="Q467" i="12"/>
  <c r="R467" i="12"/>
  <c r="L468" i="12"/>
  <c r="M468" i="12"/>
  <c r="N468" i="12"/>
  <c r="O468" i="12"/>
  <c r="P468" i="12"/>
  <c r="Q468" i="12"/>
  <c r="R468" i="12"/>
  <c r="L469" i="12"/>
  <c r="M469" i="12"/>
  <c r="N469" i="12"/>
  <c r="O469" i="12"/>
  <c r="P469" i="12"/>
  <c r="Q469" i="12"/>
  <c r="R469" i="12"/>
  <c r="L470" i="12"/>
  <c r="M470" i="12"/>
  <c r="N470" i="12"/>
  <c r="O470" i="12"/>
  <c r="P470" i="12"/>
  <c r="Q470" i="12"/>
  <c r="R470" i="12"/>
  <c r="L471" i="12"/>
  <c r="M471" i="12"/>
  <c r="N471" i="12"/>
  <c r="O471" i="12"/>
  <c r="P471" i="12"/>
  <c r="Q471" i="12"/>
  <c r="R471" i="12"/>
  <c r="L472" i="12"/>
  <c r="M472" i="12"/>
  <c r="N472" i="12"/>
  <c r="O472" i="12"/>
  <c r="P472" i="12"/>
  <c r="Q472" i="12"/>
  <c r="R472" i="12"/>
  <c r="L473" i="12"/>
  <c r="M473" i="12"/>
  <c r="N473" i="12"/>
  <c r="O473" i="12"/>
  <c r="P473" i="12"/>
  <c r="Q473" i="12"/>
  <c r="R473" i="12"/>
  <c r="L474" i="12"/>
  <c r="M474" i="12"/>
  <c r="N474" i="12"/>
  <c r="O474" i="12"/>
  <c r="P474" i="12"/>
  <c r="Q474" i="12"/>
  <c r="R474" i="12"/>
  <c r="L475" i="12"/>
  <c r="M475" i="12"/>
  <c r="N475" i="12"/>
  <c r="O475" i="12"/>
  <c r="P475" i="12"/>
  <c r="Q475" i="12"/>
  <c r="R475" i="12"/>
  <c r="L476" i="12"/>
  <c r="M476" i="12"/>
  <c r="N476" i="12"/>
  <c r="O476" i="12"/>
  <c r="P476" i="12"/>
  <c r="Q476" i="12"/>
  <c r="R476" i="12"/>
  <c r="L477" i="12"/>
  <c r="M477" i="12"/>
  <c r="N477" i="12"/>
  <c r="O477" i="12"/>
  <c r="P477" i="12"/>
  <c r="Q477" i="12"/>
  <c r="R477" i="12"/>
  <c r="L478" i="12"/>
  <c r="M478" i="12"/>
  <c r="N478" i="12"/>
  <c r="O478" i="12"/>
  <c r="P478" i="12"/>
  <c r="Q478" i="12"/>
  <c r="R478" i="12"/>
  <c r="L480" i="12"/>
  <c r="M480" i="12"/>
  <c r="N480" i="12"/>
  <c r="O480" i="12"/>
  <c r="P480" i="12"/>
  <c r="Q480" i="12"/>
  <c r="R480" i="12"/>
  <c r="L482" i="12"/>
  <c r="M482" i="12"/>
  <c r="N482" i="12"/>
  <c r="O482" i="12"/>
  <c r="P482" i="12"/>
  <c r="Q482" i="12"/>
  <c r="R482" i="12"/>
  <c r="L483" i="12"/>
  <c r="M483" i="12"/>
  <c r="N483" i="12"/>
  <c r="O483" i="12"/>
  <c r="P483" i="12"/>
  <c r="Q483" i="12"/>
  <c r="R483" i="12"/>
  <c r="L484" i="12"/>
  <c r="M484" i="12"/>
  <c r="N484" i="12"/>
  <c r="O484" i="12"/>
  <c r="P484" i="12"/>
  <c r="Q484" i="12"/>
  <c r="R484" i="12"/>
  <c r="L485" i="12"/>
  <c r="M485" i="12"/>
  <c r="N485" i="12"/>
  <c r="O485" i="12"/>
  <c r="P485" i="12"/>
  <c r="Q485" i="12"/>
  <c r="R485" i="12"/>
  <c r="L487" i="12"/>
  <c r="M487" i="12"/>
  <c r="N487" i="12"/>
  <c r="O487" i="12"/>
  <c r="P487" i="12"/>
  <c r="Q487" i="12"/>
  <c r="R487" i="12"/>
  <c r="L488" i="12"/>
  <c r="M488" i="12"/>
  <c r="N488" i="12"/>
  <c r="O488" i="12"/>
  <c r="P488" i="12"/>
  <c r="Q488" i="12"/>
  <c r="R488" i="12"/>
  <c r="L489" i="12"/>
  <c r="M489" i="12"/>
  <c r="N489" i="12"/>
  <c r="O489" i="12"/>
  <c r="P489" i="12"/>
  <c r="Q489" i="12"/>
  <c r="R489" i="12"/>
  <c r="L490" i="12"/>
  <c r="M490" i="12"/>
  <c r="N490" i="12"/>
  <c r="O490" i="12"/>
  <c r="P490" i="12"/>
  <c r="Q490" i="12"/>
  <c r="R490" i="12"/>
  <c r="L491" i="12"/>
  <c r="M491" i="12"/>
  <c r="N491" i="12"/>
  <c r="O491" i="12"/>
  <c r="P491" i="12"/>
  <c r="Q491" i="12"/>
  <c r="R491" i="12"/>
  <c r="L492" i="12"/>
  <c r="M492" i="12"/>
  <c r="N492" i="12"/>
  <c r="O492" i="12"/>
  <c r="P492" i="12"/>
  <c r="Q492" i="12"/>
  <c r="R492" i="12"/>
  <c r="L493" i="12"/>
  <c r="M493" i="12"/>
  <c r="N493" i="12"/>
  <c r="O493" i="12"/>
  <c r="P493" i="12"/>
  <c r="Q493" i="12"/>
  <c r="R493" i="12"/>
  <c r="L494" i="12"/>
  <c r="M494" i="12"/>
  <c r="N494" i="12"/>
  <c r="O494" i="12"/>
  <c r="P494" i="12"/>
  <c r="Q494" i="12"/>
  <c r="R494" i="12"/>
  <c r="L495" i="12"/>
  <c r="M495" i="12"/>
  <c r="N495" i="12"/>
  <c r="O495" i="12"/>
  <c r="P495" i="12"/>
  <c r="Q495" i="12"/>
  <c r="R495" i="12"/>
  <c r="L496" i="12"/>
  <c r="M496" i="12"/>
  <c r="N496" i="12"/>
  <c r="O496" i="12"/>
  <c r="P496" i="12"/>
  <c r="Q496" i="12"/>
  <c r="R496" i="12"/>
  <c r="L497" i="12"/>
  <c r="M497" i="12"/>
  <c r="N497" i="12"/>
  <c r="O497" i="12"/>
  <c r="P497" i="12"/>
  <c r="Q497" i="12"/>
  <c r="R497" i="12"/>
  <c r="L498" i="12"/>
  <c r="M498" i="12"/>
  <c r="N498" i="12"/>
  <c r="O498" i="12"/>
  <c r="P498" i="12"/>
  <c r="Q498" i="12"/>
  <c r="R498" i="12"/>
  <c r="L500" i="12"/>
  <c r="M500" i="12"/>
  <c r="N500" i="12"/>
  <c r="O500" i="12"/>
  <c r="P500" i="12"/>
  <c r="Q500" i="12"/>
  <c r="R500" i="12"/>
  <c r="L501" i="12"/>
  <c r="M501" i="12"/>
  <c r="N501" i="12"/>
  <c r="O501" i="12"/>
  <c r="P501" i="12"/>
  <c r="Q501" i="12"/>
  <c r="R501" i="12"/>
  <c r="L502" i="12"/>
  <c r="M502" i="12"/>
  <c r="N502" i="12"/>
  <c r="O502" i="12"/>
  <c r="P502" i="12"/>
  <c r="Q502" i="12"/>
  <c r="R502" i="12"/>
  <c r="L503" i="12"/>
  <c r="M503" i="12"/>
  <c r="N503" i="12"/>
  <c r="O503" i="12"/>
  <c r="P503" i="12"/>
  <c r="Q503" i="12"/>
  <c r="R503" i="12"/>
  <c r="L504" i="12"/>
  <c r="M504" i="12"/>
  <c r="N504" i="12"/>
  <c r="O504" i="12"/>
  <c r="P504" i="12"/>
  <c r="Q504" i="12"/>
  <c r="R504" i="12"/>
  <c r="L505" i="12"/>
  <c r="M505" i="12"/>
  <c r="N505" i="12"/>
  <c r="O505" i="12"/>
  <c r="P505" i="12"/>
  <c r="Q505" i="12"/>
  <c r="R505" i="12"/>
  <c r="L506" i="12"/>
  <c r="M506" i="12"/>
  <c r="N506" i="12"/>
  <c r="O506" i="12"/>
  <c r="P506" i="12"/>
  <c r="Q506" i="12"/>
  <c r="R506" i="12"/>
  <c r="L507" i="12"/>
  <c r="M507" i="12"/>
  <c r="N507" i="12"/>
  <c r="O507" i="12"/>
  <c r="P507" i="12"/>
  <c r="Q507" i="12"/>
  <c r="R507" i="12"/>
  <c r="L508" i="12"/>
  <c r="M508" i="12"/>
  <c r="N508" i="12"/>
  <c r="O508" i="12"/>
  <c r="P508" i="12"/>
  <c r="Q508" i="12"/>
  <c r="R508" i="12"/>
  <c r="L509" i="12"/>
  <c r="M509" i="12"/>
  <c r="N509" i="12"/>
  <c r="O509" i="12"/>
  <c r="P509" i="12"/>
  <c r="Q509" i="12"/>
  <c r="R509" i="12"/>
  <c r="L510" i="12"/>
  <c r="M510" i="12"/>
  <c r="N510" i="12"/>
  <c r="O510" i="12"/>
  <c r="P510" i="12"/>
  <c r="Q510" i="12"/>
  <c r="R510" i="12"/>
  <c r="L511" i="12"/>
  <c r="M511" i="12"/>
  <c r="N511" i="12"/>
  <c r="O511" i="12"/>
  <c r="P511" i="12"/>
  <c r="Q511" i="12"/>
  <c r="R511" i="12"/>
  <c r="L512" i="12"/>
  <c r="M512" i="12"/>
  <c r="N512" i="12"/>
  <c r="O512" i="12"/>
  <c r="P512" i="12"/>
  <c r="Q512" i="12"/>
  <c r="R512" i="12"/>
  <c r="L513" i="12"/>
  <c r="M513" i="12"/>
  <c r="N513" i="12"/>
  <c r="O513" i="12"/>
  <c r="P513" i="12"/>
  <c r="Q513" i="12"/>
  <c r="R513" i="12"/>
  <c r="L514" i="12"/>
  <c r="M514" i="12"/>
  <c r="N514" i="12"/>
  <c r="O514" i="12"/>
  <c r="P514" i="12"/>
  <c r="Q514" i="12"/>
  <c r="R514" i="12"/>
  <c r="L515" i="12"/>
  <c r="M515" i="12"/>
  <c r="N515" i="12"/>
  <c r="O515" i="12"/>
  <c r="P515" i="12"/>
  <c r="Q515" i="12"/>
  <c r="R515" i="12"/>
  <c r="L517" i="12"/>
  <c r="M517" i="12"/>
  <c r="N517" i="12"/>
  <c r="O517" i="12"/>
  <c r="P517" i="12"/>
  <c r="Q517" i="12"/>
  <c r="R517" i="12"/>
  <c r="L518" i="12"/>
  <c r="M518" i="12"/>
  <c r="N518" i="12"/>
  <c r="O518" i="12"/>
  <c r="P518" i="12"/>
  <c r="Q518" i="12"/>
  <c r="R518" i="12"/>
  <c r="L519" i="12"/>
  <c r="M519" i="12"/>
  <c r="N519" i="12"/>
  <c r="O519" i="12"/>
  <c r="P519" i="12"/>
  <c r="Q519" i="12"/>
  <c r="R519" i="12"/>
  <c r="L520" i="12"/>
  <c r="M520" i="12"/>
  <c r="N520" i="12"/>
  <c r="O520" i="12"/>
  <c r="P520" i="12"/>
  <c r="Q520" i="12"/>
  <c r="R520" i="12"/>
  <c r="L521" i="12"/>
  <c r="M521" i="12"/>
  <c r="N521" i="12"/>
  <c r="O521" i="12"/>
  <c r="P521" i="12"/>
  <c r="Q521" i="12"/>
  <c r="R521" i="12"/>
  <c r="L522" i="12"/>
  <c r="M522" i="12"/>
  <c r="N522" i="12"/>
  <c r="O522" i="12"/>
  <c r="P522" i="12"/>
  <c r="Q522" i="12"/>
  <c r="R522" i="12"/>
  <c r="L523" i="12"/>
  <c r="M523" i="12"/>
  <c r="N523" i="12"/>
  <c r="O523" i="12"/>
  <c r="P523" i="12"/>
  <c r="Q523" i="12"/>
  <c r="R523" i="12"/>
  <c r="L524" i="12"/>
  <c r="M524" i="12"/>
  <c r="N524" i="12"/>
  <c r="O524" i="12"/>
  <c r="P524" i="12"/>
  <c r="Q524" i="12"/>
  <c r="R524" i="12"/>
  <c r="L525" i="12"/>
  <c r="M525" i="12"/>
  <c r="N525" i="12"/>
  <c r="O525" i="12"/>
  <c r="P525" i="12"/>
  <c r="Q525" i="12"/>
  <c r="R525" i="12"/>
  <c r="L526" i="12"/>
  <c r="M526" i="12"/>
  <c r="N526" i="12"/>
  <c r="O526" i="12"/>
  <c r="P526" i="12"/>
  <c r="Q526" i="12"/>
  <c r="R526" i="12"/>
  <c r="L527" i="12"/>
  <c r="M527" i="12"/>
  <c r="N527" i="12"/>
  <c r="O527" i="12"/>
  <c r="P527" i="12"/>
  <c r="Q527" i="12"/>
  <c r="R527" i="12"/>
  <c r="L528" i="12"/>
  <c r="M528" i="12"/>
  <c r="N528" i="12"/>
  <c r="O528" i="12"/>
  <c r="P528" i="12"/>
  <c r="Q528" i="12"/>
  <c r="R528" i="12"/>
  <c r="L529" i="12"/>
  <c r="M529" i="12"/>
  <c r="N529" i="12"/>
  <c r="O529" i="12"/>
  <c r="P529" i="12"/>
  <c r="Q529" i="12"/>
  <c r="R529" i="12"/>
  <c r="L530" i="12"/>
  <c r="M530" i="12"/>
  <c r="N530" i="12"/>
  <c r="O530" i="12"/>
  <c r="P530" i="12"/>
  <c r="Q530" i="12"/>
  <c r="R530" i="12"/>
  <c r="L531" i="12"/>
  <c r="M531" i="12"/>
  <c r="N531" i="12"/>
  <c r="O531" i="12"/>
  <c r="P531" i="12"/>
  <c r="Q531" i="12"/>
  <c r="R531" i="12"/>
  <c r="L532" i="12"/>
  <c r="M532" i="12"/>
  <c r="N532" i="12"/>
  <c r="O532" i="12"/>
  <c r="P532" i="12"/>
  <c r="Q532" i="12"/>
  <c r="R532" i="12"/>
  <c r="R333" i="12"/>
  <c r="Q333" i="12"/>
  <c r="P333" i="12"/>
  <c r="O333" i="12"/>
  <c r="N333" i="12"/>
  <c r="M333" i="12"/>
  <c r="L333" i="12"/>
  <c r="L329" i="12"/>
  <c r="L3" i="12"/>
  <c r="M3" i="12"/>
  <c r="N3" i="12"/>
  <c r="O3" i="12"/>
  <c r="P3" i="12"/>
  <c r="Q3" i="12"/>
  <c r="R3" i="12"/>
  <c r="S3" i="12"/>
  <c r="L4" i="12"/>
  <c r="M4" i="12"/>
  <c r="N4" i="12"/>
  <c r="O4" i="12"/>
  <c r="P4" i="12"/>
  <c r="Q4" i="12"/>
  <c r="R4" i="12"/>
  <c r="S4" i="12"/>
  <c r="L5" i="12"/>
  <c r="M5" i="12"/>
  <c r="N5" i="12"/>
  <c r="O5" i="12"/>
  <c r="P5" i="12"/>
  <c r="Q5" i="12"/>
  <c r="R5" i="12"/>
  <c r="S5" i="12"/>
  <c r="L6" i="12"/>
  <c r="M6" i="12"/>
  <c r="N6" i="12"/>
  <c r="O6" i="12"/>
  <c r="P6" i="12"/>
  <c r="Q6" i="12"/>
  <c r="R6" i="12"/>
  <c r="S6" i="12"/>
  <c r="L7" i="12"/>
  <c r="M7" i="12"/>
  <c r="N7" i="12"/>
  <c r="O7" i="12"/>
  <c r="P7" i="12"/>
  <c r="Q7" i="12"/>
  <c r="R7" i="12"/>
  <c r="S7" i="12"/>
  <c r="L8" i="12"/>
  <c r="M8" i="12"/>
  <c r="N8" i="12"/>
  <c r="O8" i="12"/>
  <c r="P8" i="12"/>
  <c r="Q8" i="12"/>
  <c r="R8" i="12"/>
  <c r="S8" i="12"/>
  <c r="L9" i="12"/>
  <c r="M9" i="12"/>
  <c r="N9" i="12"/>
  <c r="O9" i="12"/>
  <c r="P9" i="12"/>
  <c r="Q9" i="12"/>
  <c r="R9" i="12"/>
  <c r="S9" i="12"/>
  <c r="L10" i="12"/>
  <c r="M10" i="12"/>
  <c r="N10" i="12"/>
  <c r="O10" i="12"/>
  <c r="P10" i="12"/>
  <c r="Q10" i="12"/>
  <c r="R10" i="12"/>
  <c r="S10" i="12"/>
  <c r="L11" i="12"/>
  <c r="M11" i="12"/>
  <c r="N11" i="12"/>
  <c r="O11" i="12"/>
  <c r="P11" i="12"/>
  <c r="Q11" i="12"/>
  <c r="R11" i="12"/>
  <c r="S11" i="12"/>
  <c r="L12" i="12"/>
  <c r="M12" i="12"/>
  <c r="N12" i="12"/>
  <c r="O12" i="12"/>
  <c r="P12" i="12"/>
  <c r="Q12" i="12"/>
  <c r="R12" i="12"/>
  <c r="S12" i="12"/>
  <c r="L13" i="12"/>
  <c r="M13" i="12"/>
  <c r="N13" i="12"/>
  <c r="O13" i="12"/>
  <c r="P13" i="12"/>
  <c r="Q13" i="12"/>
  <c r="R13" i="12"/>
  <c r="S13" i="12"/>
  <c r="L14" i="12"/>
  <c r="M14" i="12"/>
  <c r="N14" i="12"/>
  <c r="O14" i="12"/>
  <c r="P14" i="12"/>
  <c r="Q14" i="12"/>
  <c r="R14" i="12"/>
  <c r="S14" i="12"/>
  <c r="L15" i="12"/>
  <c r="M15" i="12"/>
  <c r="N15" i="12"/>
  <c r="O15" i="12"/>
  <c r="P15" i="12"/>
  <c r="Q15" i="12"/>
  <c r="R15" i="12"/>
  <c r="S15" i="12"/>
  <c r="L16" i="12"/>
  <c r="M16" i="12"/>
  <c r="N16" i="12"/>
  <c r="O16" i="12"/>
  <c r="P16" i="12"/>
  <c r="Q16" i="12"/>
  <c r="R16" i="12"/>
  <c r="S16" i="12"/>
  <c r="L18" i="12"/>
  <c r="M18" i="12"/>
  <c r="N18" i="12"/>
  <c r="O18" i="12"/>
  <c r="P18" i="12"/>
  <c r="Q18" i="12"/>
  <c r="R18" i="12"/>
  <c r="S18" i="12"/>
  <c r="L19" i="12"/>
  <c r="M19" i="12"/>
  <c r="N19" i="12"/>
  <c r="O19" i="12"/>
  <c r="P19" i="12"/>
  <c r="Q19" i="12"/>
  <c r="R19" i="12"/>
  <c r="S19" i="12"/>
  <c r="L20" i="12"/>
  <c r="M20" i="12"/>
  <c r="N20" i="12"/>
  <c r="O20" i="12"/>
  <c r="P20" i="12"/>
  <c r="Q20" i="12"/>
  <c r="R20" i="12"/>
  <c r="S20" i="12"/>
  <c r="L21" i="12"/>
  <c r="M21" i="12"/>
  <c r="N21" i="12"/>
  <c r="O21" i="12"/>
  <c r="P21" i="12"/>
  <c r="Q21" i="12"/>
  <c r="R21" i="12"/>
  <c r="S21" i="12"/>
  <c r="L22" i="12"/>
  <c r="M22" i="12"/>
  <c r="N22" i="12"/>
  <c r="O22" i="12"/>
  <c r="P22" i="12"/>
  <c r="Q22" i="12"/>
  <c r="R22" i="12"/>
  <c r="S22" i="12"/>
  <c r="L24" i="12"/>
  <c r="M24" i="12"/>
  <c r="N24" i="12"/>
  <c r="O24" i="12"/>
  <c r="P24" i="12"/>
  <c r="Q24" i="12"/>
  <c r="R24" i="12"/>
  <c r="S24" i="12"/>
  <c r="L25" i="12"/>
  <c r="M25" i="12"/>
  <c r="N25" i="12"/>
  <c r="O25" i="12"/>
  <c r="P25" i="12"/>
  <c r="Q25" i="12"/>
  <c r="R25" i="12"/>
  <c r="S25" i="12"/>
  <c r="L26" i="12"/>
  <c r="M26" i="12"/>
  <c r="N26" i="12"/>
  <c r="O26" i="12"/>
  <c r="P26" i="12"/>
  <c r="Q26" i="12"/>
  <c r="R26" i="12"/>
  <c r="S26" i="12"/>
  <c r="L28" i="12"/>
  <c r="M28" i="12"/>
  <c r="N28" i="12"/>
  <c r="O28" i="12"/>
  <c r="P28" i="12"/>
  <c r="Q28" i="12"/>
  <c r="R28" i="12"/>
  <c r="S28" i="12"/>
  <c r="L29" i="12"/>
  <c r="M29" i="12"/>
  <c r="N29" i="12"/>
  <c r="O29" i="12"/>
  <c r="P29" i="12"/>
  <c r="Q29" i="12"/>
  <c r="R29" i="12"/>
  <c r="S29" i="12"/>
  <c r="L30" i="12"/>
  <c r="M30" i="12"/>
  <c r="N30" i="12"/>
  <c r="O30" i="12"/>
  <c r="P30" i="12"/>
  <c r="Q30" i="12"/>
  <c r="R30" i="12"/>
  <c r="S30" i="12"/>
  <c r="L33" i="12"/>
  <c r="M33" i="12"/>
  <c r="N33" i="12"/>
  <c r="O33" i="12"/>
  <c r="P33" i="12"/>
  <c r="Q33" i="12"/>
  <c r="R33" i="12"/>
  <c r="S33" i="12"/>
  <c r="L34" i="12"/>
  <c r="M34" i="12"/>
  <c r="N34" i="12"/>
  <c r="O34" i="12"/>
  <c r="P34" i="12"/>
  <c r="Q34" i="12"/>
  <c r="R34" i="12"/>
  <c r="S34" i="12"/>
  <c r="L35" i="12"/>
  <c r="M35" i="12"/>
  <c r="N35" i="12"/>
  <c r="O35" i="12"/>
  <c r="P35" i="12"/>
  <c r="Q35" i="12"/>
  <c r="R35" i="12"/>
  <c r="S35" i="12"/>
  <c r="L37" i="12"/>
  <c r="M37" i="12"/>
  <c r="N37" i="12"/>
  <c r="O37" i="12"/>
  <c r="P37" i="12"/>
  <c r="Q37" i="12"/>
  <c r="R37" i="12"/>
  <c r="S37" i="12"/>
  <c r="L38" i="12"/>
  <c r="M38" i="12"/>
  <c r="N38" i="12"/>
  <c r="O38" i="12"/>
  <c r="P38" i="12"/>
  <c r="Q38" i="12"/>
  <c r="R38" i="12"/>
  <c r="S38" i="12"/>
  <c r="L39" i="12"/>
  <c r="M39" i="12"/>
  <c r="N39" i="12"/>
  <c r="O39" i="12"/>
  <c r="P39" i="12"/>
  <c r="Q39" i="12"/>
  <c r="R39" i="12"/>
  <c r="S39" i="12"/>
  <c r="L40" i="12"/>
  <c r="M40" i="12"/>
  <c r="N40" i="12"/>
  <c r="O40" i="12"/>
  <c r="P40" i="12"/>
  <c r="Q40" i="12"/>
  <c r="R40" i="12"/>
  <c r="S40" i="12"/>
  <c r="L41" i="12"/>
  <c r="M41" i="12"/>
  <c r="N41" i="12"/>
  <c r="O41" i="12"/>
  <c r="P41" i="12"/>
  <c r="Q41" i="12"/>
  <c r="R41" i="12"/>
  <c r="S41" i="12"/>
  <c r="L42" i="12"/>
  <c r="M42" i="12"/>
  <c r="N42" i="12"/>
  <c r="O42" i="12"/>
  <c r="P42" i="12"/>
  <c r="Q42" i="12"/>
  <c r="R42" i="12"/>
  <c r="S42" i="12"/>
  <c r="L43" i="12"/>
  <c r="M43" i="12"/>
  <c r="N43" i="12"/>
  <c r="O43" i="12"/>
  <c r="P43" i="12"/>
  <c r="Q43" i="12"/>
  <c r="R43" i="12"/>
  <c r="S43" i="12"/>
  <c r="L45" i="12"/>
  <c r="M45" i="12"/>
  <c r="N45" i="12"/>
  <c r="O45" i="12"/>
  <c r="P45" i="12"/>
  <c r="Q45" i="12"/>
  <c r="R45" i="12"/>
  <c r="S45" i="12"/>
  <c r="L46" i="12"/>
  <c r="M46" i="12"/>
  <c r="N46" i="12"/>
  <c r="O46" i="12"/>
  <c r="P46" i="12"/>
  <c r="Q46" i="12"/>
  <c r="R46" i="12"/>
  <c r="S46" i="12"/>
  <c r="L47" i="12"/>
  <c r="M47" i="12"/>
  <c r="N47" i="12"/>
  <c r="O47" i="12"/>
  <c r="P47" i="12"/>
  <c r="Q47" i="12"/>
  <c r="R47" i="12"/>
  <c r="S47" i="12"/>
  <c r="L48" i="12"/>
  <c r="M48" i="12"/>
  <c r="N48" i="12"/>
  <c r="O48" i="12"/>
  <c r="P48" i="12"/>
  <c r="Q48" i="12"/>
  <c r="R48" i="12"/>
  <c r="S48" i="12"/>
  <c r="L50" i="12"/>
  <c r="M50" i="12"/>
  <c r="N50" i="12"/>
  <c r="O50" i="12"/>
  <c r="P50" i="12"/>
  <c r="Q50" i="12"/>
  <c r="R50" i="12"/>
  <c r="S50" i="12"/>
  <c r="L51" i="12"/>
  <c r="M51" i="12"/>
  <c r="N51" i="12"/>
  <c r="O51" i="12"/>
  <c r="P51" i="12"/>
  <c r="Q51" i="12"/>
  <c r="R51" i="12"/>
  <c r="S51" i="12"/>
  <c r="L52" i="12"/>
  <c r="M52" i="12"/>
  <c r="N52" i="12"/>
  <c r="O52" i="12"/>
  <c r="P52" i="12"/>
  <c r="Q52" i="12"/>
  <c r="R52" i="12"/>
  <c r="S52" i="12"/>
  <c r="L57" i="12"/>
  <c r="M57" i="12"/>
  <c r="N57" i="12"/>
  <c r="O57" i="12"/>
  <c r="P57" i="12"/>
  <c r="Q57" i="12"/>
  <c r="R57" i="12"/>
  <c r="S57" i="12"/>
  <c r="L58" i="12"/>
  <c r="M58" i="12"/>
  <c r="N58" i="12"/>
  <c r="O58" i="12"/>
  <c r="P58" i="12"/>
  <c r="Q58" i="12"/>
  <c r="R58" i="12"/>
  <c r="S58" i="12"/>
  <c r="L59" i="12"/>
  <c r="M59" i="12"/>
  <c r="N59" i="12"/>
  <c r="O59" i="12"/>
  <c r="P59" i="12"/>
  <c r="Q59" i="12"/>
  <c r="R59" i="12"/>
  <c r="S59" i="12"/>
  <c r="L60" i="12"/>
  <c r="M60" i="12"/>
  <c r="N60" i="12"/>
  <c r="O60" i="12"/>
  <c r="P60" i="12"/>
  <c r="Q60" i="12"/>
  <c r="R60" i="12"/>
  <c r="S60" i="12"/>
  <c r="L62" i="12"/>
  <c r="M62" i="12"/>
  <c r="N62" i="12"/>
  <c r="O62" i="12"/>
  <c r="P62" i="12"/>
  <c r="Q62" i="12"/>
  <c r="R62" i="12"/>
  <c r="S62" i="12"/>
  <c r="L55" i="12"/>
  <c r="M55" i="12"/>
  <c r="N55" i="12"/>
  <c r="O55" i="12"/>
  <c r="P55" i="12"/>
  <c r="Q55" i="12"/>
  <c r="R55" i="12"/>
  <c r="S55" i="12"/>
  <c r="L64" i="12"/>
  <c r="M64" i="12"/>
  <c r="N64" i="12"/>
  <c r="O64" i="12"/>
  <c r="P64" i="12"/>
  <c r="Q64" i="12"/>
  <c r="R64" i="12"/>
  <c r="S64" i="12"/>
  <c r="L66" i="12"/>
  <c r="M66" i="12"/>
  <c r="N66" i="12"/>
  <c r="O66" i="12"/>
  <c r="P66" i="12"/>
  <c r="Q66" i="12"/>
  <c r="R66" i="12"/>
  <c r="S66" i="12"/>
  <c r="L67" i="12"/>
  <c r="M67" i="12"/>
  <c r="N67" i="12"/>
  <c r="O67" i="12"/>
  <c r="P67" i="12"/>
  <c r="Q67" i="12"/>
  <c r="R67" i="12"/>
  <c r="S67" i="12"/>
  <c r="L68" i="12"/>
  <c r="M68" i="12"/>
  <c r="N68" i="12"/>
  <c r="O68" i="12"/>
  <c r="P68" i="12"/>
  <c r="Q68" i="12"/>
  <c r="R68" i="12"/>
  <c r="S68" i="12"/>
  <c r="L69" i="12"/>
  <c r="M69" i="12"/>
  <c r="N69" i="12"/>
  <c r="O69" i="12"/>
  <c r="P69" i="12"/>
  <c r="Q69" i="12"/>
  <c r="R69" i="12"/>
  <c r="S69" i="12"/>
  <c r="L70" i="12"/>
  <c r="M70" i="12"/>
  <c r="N70" i="12"/>
  <c r="O70" i="12"/>
  <c r="P70" i="12"/>
  <c r="Q70" i="12"/>
  <c r="R70" i="12"/>
  <c r="S70" i="12"/>
  <c r="L72" i="12"/>
  <c r="M72" i="12"/>
  <c r="N72" i="12"/>
  <c r="O72" i="12"/>
  <c r="P72" i="12"/>
  <c r="Q72" i="12"/>
  <c r="R72" i="12"/>
  <c r="S72" i="12"/>
  <c r="L73" i="12"/>
  <c r="M73" i="12"/>
  <c r="N73" i="12"/>
  <c r="O73" i="12"/>
  <c r="P73" i="12"/>
  <c r="Q73" i="12"/>
  <c r="R73" i="12"/>
  <c r="S73" i="12"/>
  <c r="L78" i="12"/>
  <c r="M78" i="12"/>
  <c r="N78" i="12"/>
  <c r="O78" i="12"/>
  <c r="P78" i="12"/>
  <c r="Q78" i="12"/>
  <c r="R78" i="12"/>
  <c r="S78" i="12"/>
  <c r="L76" i="12"/>
  <c r="M76" i="12"/>
  <c r="N76" i="12"/>
  <c r="O76" i="12"/>
  <c r="P76" i="12"/>
  <c r="Q76" i="12"/>
  <c r="R76" i="12"/>
  <c r="S76" i="12"/>
  <c r="L79" i="12"/>
  <c r="M79" i="12"/>
  <c r="N79" i="12"/>
  <c r="O79" i="12"/>
  <c r="P79" i="12"/>
  <c r="Q79" i="12"/>
  <c r="R79" i="12"/>
  <c r="S79" i="12"/>
  <c r="L80" i="12"/>
  <c r="M80" i="12"/>
  <c r="N80" i="12"/>
  <c r="O80" i="12"/>
  <c r="P80" i="12"/>
  <c r="Q80" i="12"/>
  <c r="R80" i="12"/>
  <c r="S80" i="12"/>
  <c r="L81" i="12"/>
  <c r="M81" i="12"/>
  <c r="N81" i="12"/>
  <c r="O81" i="12"/>
  <c r="P81" i="12"/>
  <c r="Q81" i="12"/>
  <c r="R81" i="12"/>
  <c r="S81" i="12"/>
  <c r="L82" i="12"/>
  <c r="M82" i="12"/>
  <c r="N82" i="12"/>
  <c r="O82" i="12"/>
  <c r="P82" i="12"/>
  <c r="Q82" i="12"/>
  <c r="R82" i="12"/>
  <c r="S82" i="12"/>
  <c r="L83" i="12"/>
  <c r="M83" i="12"/>
  <c r="N83" i="12"/>
  <c r="O83" i="12"/>
  <c r="P83" i="12"/>
  <c r="Q83" i="12"/>
  <c r="R83" i="12"/>
  <c r="S83" i="12"/>
  <c r="L84" i="12"/>
  <c r="M84" i="12"/>
  <c r="N84" i="12"/>
  <c r="O84" i="12"/>
  <c r="P84" i="12"/>
  <c r="Q84" i="12"/>
  <c r="R84" i="12"/>
  <c r="S84" i="12"/>
  <c r="L85" i="12"/>
  <c r="M85" i="12"/>
  <c r="N85" i="12"/>
  <c r="O85" i="12"/>
  <c r="P85" i="12"/>
  <c r="Q85" i="12"/>
  <c r="R85" i="12"/>
  <c r="S85" i="12"/>
  <c r="L86" i="12"/>
  <c r="M86" i="12"/>
  <c r="N86" i="12"/>
  <c r="O86" i="12"/>
  <c r="P86" i="12"/>
  <c r="Q86" i="12"/>
  <c r="R86" i="12"/>
  <c r="S86" i="12"/>
  <c r="L87" i="12"/>
  <c r="M87" i="12"/>
  <c r="N87" i="12"/>
  <c r="O87" i="12"/>
  <c r="P87" i="12"/>
  <c r="Q87" i="12"/>
  <c r="R87" i="12"/>
  <c r="S87" i="12"/>
  <c r="L88" i="12"/>
  <c r="M88" i="12"/>
  <c r="N88" i="12"/>
  <c r="O88" i="12"/>
  <c r="P88" i="12"/>
  <c r="Q88" i="12"/>
  <c r="R88" i="12"/>
  <c r="S88" i="12"/>
  <c r="L89" i="12"/>
  <c r="M89" i="12"/>
  <c r="N89" i="12"/>
  <c r="O89" i="12"/>
  <c r="P89" i="12"/>
  <c r="Q89" i="12"/>
  <c r="R89" i="12"/>
  <c r="S89" i="12"/>
  <c r="L90" i="12"/>
  <c r="M90" i="12"/>
  <c r="N90" i="12"/>
  <c r="O90" i="12"/>
  <c r="P90" i="12"/>
  <c r="Q90" i="12"/>
  <c r="R90" i="12"/>
  <c r="S90" i="12"/>
  <c r="L91" i="12"/>
  <c r="M91" i="12"/>
  <c r="N91" i="12"/>
  <c r="O91" i="12"/>
  <c r="P91" i="12"/>
  <c r="Q91" i="12"/>
  <c r="R91" i="12"/>
  <c r="S91" i="12"/>
  <c r="L95" i="12"/>
  <c r="M95" i="12"/>
  <c r="N95" i="12"/>
  <c r="O95" i="12"/>
  <c r="P95" i="12"/>
  <c r="Q95" i="12"/>
  <c r="R95" i="12"/>
  <c r="S95" i="12"/>
  <c r="L96" i="12"/>
  <c r="M96" i="12"/>
  <c r="N96" i="12"/>
  <c r="O96" i="12"/>
  <c r="P96" i="12"/>
  <c r="Q96" i="12"/>
  <c r="R96" i="12"/>
  <c r="S96" i="12"/>
  <c r="L100" i="12"/>
  <c r="M100" i="12"/>
  <c r="N100" i="12"/>
  <c r="O100" i="12"/>
  <c r="P100" i="12"/>
  <c r="Q100" i="12"/>
  <c r="R100" i="12"/>
  <c r="S100" i="12"/>
  <c r="L101" i="12"/>
  <c r="M101" i="12"/>
  <c r="N101" i="12"/>
  <c r="O101" i="12"/>
  <c r="P101" i="12"/>
  <c r="Q101" i="12"/>
  <c r="R101" i="12"/>
  <c r="S101" i="12"/>
  <c r="L102" i="12"/>
  <c r="M102" i="12"/>
  <c r="N102" i="12"/>
  <c r="O102" i="12"/>
  <c r="P102" i="12"/>
  <c r="Q102" i="12"/>
  <c r="R102" i="12"/>
  <c r="S102" i="12"/>
  <c r="L104" i="12"/>
  <c r="M104" i="12"/>
  <c r="N104" i="12"/>
  <c r="O104" i="12"/>
  <c r="P104" i="12"/>
  <c r="Q104" i="12"/>
  <c r="R104" i="12"/>
  <c r="S104" i="12"/>
  <c r="L105" i="12"/>
  <c r="M105" i="12"/>
  <c r="N105" i="12"/>
  <c r="O105" i="12"/>
  <c r="P105" i="12"/>
  <c r="Q105" i="12"/>
  <c r="R105" i="12"/>
  <c r="S105" i="12"/>
  <c r="L109" i="12"/>
  <c r="M109" i="12"/>
  <c r="N109" i="12"/>
  <c r="O109" i="12"/>
  <c r="P109" i="12"/>
  <c r="Q109" i="12"/>
  <c r="R109" i="12"/>
  <c r="S109" i="12"/>
  <c r="L110" i="12"/>
  <c r="M110" i="12"/>
  <c r="N110" i="12"/>
  <c r="O110" i="12"/>
  <c r="P110" i="12"/>
  <c r="Q110" i="12"/>
  <c r="R110" i="12"/>
  <c r="S110" i="12"/>
  <c r="L111" i="12"/>
  <c r="M111" i="12"/>
  <c r="N111" i="12"/>
  <c r="O111" i="12"/>
  <c r="P111" i="12"/>
  <c r="Q111" i="12"/>
  <c r="R111" i="12"/>
  <c r="S111" i="12"/>
  <c r="L112" i="12"/>
  <c r="M112" i="12"/>
  <c r="N112" i="12"/>
  <c r="O112" i="12"/>
  <c r="P112" i="12"/>
  <c r="Q112" i="12"/>
  <c r="R112" i="12"/>
  <c r="S112" i="12"/>
  <c r="L113" i="12"/>
  <c r="M113" i="12"/>
  <c r="N113" i="12"/>
  <c r="O113" i="12"/>
  <c r="P113" i="12"/>
  <c r="Q113" i="12"/>
  <c r="R113" i="12"/>
  <c r="S113" i="12"/>
  <c r="L117" i="12"/>
  <c r="M117" i="12"/>
  <c r="N117" i="12"/>
  <c r="O117" i="12"/>
  <c r="P117" i="12"/>
  <c r="Q117" i="12"/>
  <c r="R117" i="12"/>
  <c r="S117" i="12"/>
  <c r="L118" i="12"/>
  <c r="M118" i="12"/>
  <c r="N118" i="12"/>
  <c r="O118" i="12"/>
  <c r="P118" i="12"/>
  <c r="Q118" i="12"/>
  <c r="R118" i="12"/>
  <c r="S118" i="12"/>
  <c r="L119" i="12"/>
  <c r="M119" i="12"/>
  <c r="N119" i="12"/>
  <c r="O119" i="12"/>
  <c r="P119" i="12"/>
  <c r="Q119" i="12"/>
  <c r="R119" i="12"/>
  <c r="S119" i="12"/>
  <c r="L121" i="12"/>
  <c r="M121" i="12"/>
  <c r="N121" i="12"/>
  <c r="O121" i="12"/>
  <c r="P121" i="12"/>
  <c r="Q121" i="12"/>
  <c r="R121" i="12"/>
  <c r="S121" i="12"/>
  <c r="L122" i="12"/>
  <c r="M122" i="12"/>
  <c r="N122" i="12"/>
  <c r="O122" i="12"/>
  <c r="P122" i="12"/>
  <c r="Q122" i="12"/>
  <c r="R122" i="12"/>
  <c r="S122" i="12"/>
  <c r="L124" i="12"/>
  <c r="M124" i="12"/>
  <c r="N124" i="12"/>
  <c r="O124" i="12"/>
  <c r="P124" i="12"/>
  <c r="Q124" i="12"/>
  <c r="R124" i="12"/>
  <c r="S124" i="12"/>
  <c r="L125" i="12"/>
  <c r="M125" i="12"/>
  <c r="N125" i="12"/>
  <c r="O125" i="12"/>
  <c r="P125" i="12"/>
  <c r="Q125" i="12"/>
  <c r="R125" i="12"/>
  <c r="S125" i="12"/>
  <c r="L127" i="12"/>
  <c r="M127" i="12"/>
  <c r="N127" i="12"/>
  <c r="O127" i="12"/>
  <c r="P127" i="12"/>
  <c r="Q127" i="12"/>
  <c r="R127" i="12"/>
  <c r="S127" i="12"/>
  <c r="L128" i="12"/>
  <c r="M128" i="12"/>
  <c r="N128" i="12"/>
  <c r="O128" i="12"/>
  <c r="P128" i="12"/>
  <c r="Q128" i="12"/>
  <c r="R128" i="12"/>
  <c r="S128" i="12"/>
  <c r="L129" i="12"/>
  <c r="M129" i="12"/>
  <c r="N129" i="12"/>
  <c r="O129" i="12"/>
  <c r="P129" i="12"/>
  <c r="Q129" i="12"/>
  <c r="R129" i="12"/>
  <c r="S129" i="12"/>
  <c r="L130" i="12"/>
  <c r="M130" i="12"/>
  <c r="N130" i="12"/>
  <c r="O130" i="12"/>
  <c r="P130" i="12"/>
  <c r="Q130" i="12"/>
  <c r="R130" i="12"/>
  <c r="S130" i="12"/>
  <c r="L131" i="12"/>
  <c r="M131" i="12"/>
  <c r="N131" i="12"/>
  <c r="O131" i="12"/>
  <c r="P131" i="12"/>
  <c r="Q131" i="12"/>
  <c r="R131" i="12"/>
  <c r="S131" i="12"/>
  <c r="L132" i="12"/>
  <c r="M132" i="12"/>
  <c r="N132" i="12"/>
  <c r="O132" i="12"/>
  <c r="P132" i="12"/>
  <c r="Q132" i="12"/>
  <c r="R132" i="12"/>
  <c r="S132" i="12"/>
  <c r="L134" i="12"/>
  <c r="M134" i="12"/>
  <c r="N134" i="12"/>
  <c r="O134" i="12"/>
  <c r="P134" i="12"/>
  <c r="Q134" i="12"/>
  <c r="R134" i="12"/>
  <c r="S134" i="12"/>
  <c r="L135" i="12"/>
  <c r="M135" i="12"/>
  <c r="N135" i="12"/>
  <c r="O135" i="12"/>
  <c r="P135" i="12"/>
  <c r="Q135" i="12"/>
  <c r="R135" i="12"/>
  <c r="S135" i="12"/>
  <c r="L136" i="12"/>
  <c r="M136" i="12"/>
  <c r="N136" i="12"/>
  <c r="O136" i="12"/>
  <c r="P136" i="12"/>
  <c r="Q136" i="12"/>
  <c r="R136" i="12"/>
  <c r="S136" i="12"/>
  <c r="L137" i="12"/>
  <c r="M137" i="12"/>
  <c r="N137" i="12"/>
  <c r="O137" i="12"/>
  <c r="P137" i="12"/>
  <c r="Q137" i="12"/>
  <c r="R137" i="12"/>
  <c r="S137" i="12"/>
  <c r="L138" i="12"/>
  <c r="M138" i="12"/>
  <c r="N138" i="12"/>
  <c r="O138" i="12"/>
  <c r="P138" i="12"/>
  <c r="Q138" i="12"/>
  <c r="R138" i="12"/>
  <c r="S138" i="12"/>
  <c r="L139" i="12"/>
  <c r="M139" i="12"/>
  <c r="N139" i="12"/>
  <c r="O139" i="12"/>
  <c r="P139" i="12"/>
  <c r="Q139" i="12"/>
  <c r="R139" i="12"/>
  <c r="S139" i="12"/>
  <c r="L140" i="12"/>
  <c r="M140" i="12"/>
  <c r="N140" i="12"/>
  <c r="O140" i="12"/>
  <c r="P140" i="12"/>
  <c r="Q140" i="12"/>
  <c r="R140" i="12"/>
  <c r="S140" i="12"/>
  <c r="L141" i="12"/>
  <c r="M141" i="12"/>
  <c r="N141" i="12"/>
  <c r="O141" i="12"/>
  <c r="P141" i="12"/>
  <c r="Q141" i="12"/>
  <c r="R141" i="12"/>
  <c r="S141" i="12"/>
  <c r="L142" i="12"/>
  <c r="M142" i="12"/>
  <c r="N142" i="12"/>
  <c r="O142" i="12"/>
  <c r="P142" i="12"/>
  <c r="Q142" i="12"/>
  <c r="R142" i="12"/>
  <c r="S142" i="12"/>
  <c r="L143" i="12"/>
  <c r="M143" i="12"/>
  <c r="N143" i="12"/>
  <c r="O143" i="12"/>
  <c r="P143" i="12"/>
  <c r="Q143" i="12"/>
  <c r="R143" i="12"/>
  <c r="S143" i="12"/>
  <c r="L144" i="12"/>
  <c r="M144" i="12"/>
  <c r="N144" i="12"/>
  <c r="O144" i="12"/>
  <c r="P144" i="12"/>
  <c r="Q144" i="12"/>
  <c r="R144" i="12"/>
  <c r="S144" i="12"/>
  <c r="L146" i="12"/>
  <c r="M146" i="12"/>
  <c r="N146" i="12"/>
  <c r="O146" i="12"/>
  <c r="P146" i="12"/>
  <c r="Q146" i="12"/>
  <c r="R146" i="12"/>
  <c r="S146" i="12"/>
  <c r="L148" i="12"/>
  <c r="M148" i="12"/>
  <c r="N148" i="12"/>
  <c r="O148" i="12"/>
  <c r="P148" i="12"/>
  <c r="Q148" i="12"/>
  <c r="R148" i="12"/>
  <c r="S148" i="12"/>
  <c r="L150" i="12"/>
  <c r="M150" i="12"/>
  <c r="N150" i="12"/>
  <c r="O150" i="12"/>
  <c r="P150" i="12"/>
  <c r="Q150" i="12"/>
  <c r="R150" i="12"/>
  <c r="S150" i="12"/>
  <c r="L151" i="12"/>
  <c r="M151" i="12"/>
  <c r="N151" i="12"/>
  <c r="O151" i="12"/>
  <c r="P151" i="12"/>
  <c r="Q151" i="12"/>
  <c r="R151" i="12"/>
  <c r="S151" i="12"/>
  <c r="L152" i="12"/>
  <c r="M152" i="12"/>
  <c r="N152" i="12"/>
  <c r="O152" i="12"/>
  <c r="P152" i="12"/>
  <c r="Q152" i="12"/>
  <c r="R152" i="12"/>
  <c r="S152" i="12"/>
  <c r="L155" i="12"/>
  <c r="M155" i="12"/>
  <c r="N155" i="12"/>
  <c r="O155" i="12"/>
  <c r="P155" i="12"/>
  <c r="Q155" i="12"/>
  <c r="R155" i="12"/>
  <c r="S155" i="12"/>
  <c r="L156" i="12"/>
  <c r="M156" i="12"/>
  <c r="N156" i="12"/>
  <c r="O156" i="12"/>
  <c r="P156" i="12"/>
  <c r="Q156" i="12"/>
  <c r="R156" i="12"/>
  <c r="S156" i="12"/>
  <c r="L157" i="12"/>
  <c r="M157" i="12"/>
  <c r="N157" i="12"/>
  <c r="O157" i="12"/>
  <c r="P157" i="12"/>
  <c r="Q157" i="12"/>
  <c r="R157" i="12"/>
  <c r="S157" i="12"/>
  <c r="L158" i="12"/>
  <c r="M158" i="12"/>
  <c r="N158" i="12"/>
  <c r="O158" i="12"/>
  <c r="P158" i="12"/>
  <c r="Q158" i="12"/>
  <c r="R158" i="12"/>
  <c r="S158" i="12"/>
  <c r="L159" i="12"/>
  <c r="M159" i="12"/>
  <c r="N159" i="12"/>
  <c r="O159" i="12"/>
  <c r="P159" i="12"/>
  <c r="Q159" i="12"/>
  <c r="R159" i="12"/>
  <c r="S159" i="12"/>
  <c r="L161" i="12"/>
  <c r="M161" i="12"/>
  <c r="N161" i="12"/>
  <c r="O161" i="12"/>
  <c r="P161" i="12"/>
  <c r="Q161" i="12"/>
  <c r="R161" i="12"/>
  <c r="S161" i="12"/>
  <c r="L162" i="12"/>
  <c r="M162" i="12"/>
  <c r="N162" i="12"/>
  <c r="O162" i="12"/>
  <c r="P162" i="12"/>
  <c r="Q162" i="12"/>
  <c r="R162" i="12"/>
  <c r="S162" i="12"/>
  <c r="L163" i="12"/>
  <c r="M163" i="12"/>
  <c r="N163" i="12"/>
  <c r="O163" i="12"/>
  <c r="P163" i="12"/>
  <c r="Q163" i="12"/>
  <c r="R163" i="12"/>
  <c r="S163" i="12"/>
  <c r="L164" i="12"/>
  <c r="M164" i="12"/>
  <c r="N164" i="12"/>
  <c r="O164" i="12"/>
  <c r="P164" i="12"/>
  <c r="Q164" i="12"/>
  <c r="R164" i="12"/>
  <c r="S164" i="12"/>
  <c r="L165" i="12"/>
  <c r="M165" i="12"/>
  <c r="N165" i="12"/>
  <c r="O165" i="12"/>
  <c r="P165" i="12"/>
  <c r="Q165" i="12"/>
  <c r="R165" i="12"/>
  <c r="S165" i="12"/>
  <c r="L166" i="12"/>
  <c r="M166" i="12"/>
  <c r="N166" i="12"/>
  <c r="O166" i="12"/>
  <c r="P166" i="12"/>
  <c r="Q166" i="12"/>
  <c r="R166" i="12"/>
  <c r="S166" i="12"/>
  <c r="L167" i="12"/>
  <c r="M167" i="12"/>
  <c r="N167" i="12"/>
  <c r="O167" i="12"/>
  <c r="P167" i="12"/>
  <c r="Q167" i="12"/>
  <c r="R167" i="12"/>
  <c r="S167" i="12"/>
  <c r="L169" i="12"/>
  <c r="M169" i="12"/>
  <c r="N169" i="12"/>
  <c r="O169" i="12"/>
  <c r="P169" i="12"/>
  <c r="Q169" i="12"/>
  <c r="R169" i="12"/>
  <c r="S169" i="12"/>
  <c r="L170" i="12"/>
  <c r="M170" i="12"/>
  <c r="N170" i="12"/>
  <c r="O170" i="12"/>
  <c r="P170" i="12"/>
  <c r="Q170" i="12"/>
  <c r="R170" i="12"/>
  <c r="S170" i="12"/>
  <c r="L171" i="12"/>
  <c r="M171" i="12"/>
  <c r="N171" i="12"/>
  <c r="O171" i="12"/>
  <c r="P171" i="12"/>
  <c r="Q171" i="12"/>
  <c r="R171" i="12"/>
  <c r="S171" i="12"/>
  <c r="L173" i="12"/>
  <c r="M173" i="12"/>
  <c r="N173" i="12"/>
  <c r="O173" i="12"/>
  <c r="P173" i="12"/>
  <c r="Q173" i="12"/>
  <c r="R173" i="12"/>
  <c r="S173" i="12"/>
  <c r="L174" i="12"/>
  <c r="M174" i="12"/>
  <c r="N174" i="12"/>
  <c r="O174" i="12"/>
  <c r="P174" i="12"/>
  <c r="Q174" i="12"/>
  <c r="R174" i="12"/>
  <c r="S174" i="12"/>
  <c r="L175" i="12"/>
  <c r="M175" i="12"/>
  <c r="N175" i="12"/>
  <c r="O175" i="12"/>
  <c r="P175" i="12"/>
  <c r="Q175" i="12"/>
  <c r="R175" i="12"/>
  <c r="S175" i="12"/>
  <c r="L176" i="12"/>
  <c r="M176" i="12"/>
  <c r="N176" i="12"/>
  <c r="O176" i="12"/>
  <c r="P176" i="12"/>
  <c r="Q176" i="12"/>
  <c r="R176" i="12"/>
  <c r="S176" i="12"/>
  <c r="L177" i="12"/>
  <c r="M177" i="12"/>
  <c r="N177" i="12"/>
  <c r="O177" i="12"/>
  <c r="P177" i="12"/>
  <c r="Q177" i="12"/>
  <c r="R177" i="12"/>
  <c r="S177" i="12"/>
  <c r="L178" i="12"/>
  <c r="M178" i="12"/>
  <c r="N178" i="12"/>
  <c r="O178" i="12"/>
  <c r="P178" i="12"/>
  <c r="Q178" i="12"/>
  <c r="R178" i="12"/>
  <c r="S178" i="12"/>
  <c r="L179" i="12"/>
  <c r="M179" i="12"/>
  <c r="N179" i="12"/>
  <c r="O179" i="12"/>
  <c r="P179" i="12"/>
  <c r="Q179" i="12"/>
  <c r="R179" i="12"/>
  <c r="S179" i="12"/>
  <c r="L182" i="12"/>
  <c r="M182" i="12"/>
  <c r="N182" i="12"/>
  <c r="O182" i="12"/>
  <c r="P182" i="12"/>
  <c r="Q182" i="12"/>
  <c r="R182" i="12"/>
  <c r="S182" i="12"/>
  <c r="L184" i="12"/>
  <c r="M184" i="12"/>
  <c r="N184" i="12"/>
  <c r="O184" i="12"/>
  <c r="P184" i="12"/>
  <c r="Q184" i="12"/>
  <c r="R184" i="12"/>
  <c r="S184" i="12"/>
  <c r="L185" i="12"/>
  <c r="M185" i="12"/>
  <c r="N185" i="12"/>
  <c r="O185" i="12"/>
  <c r="P185" i="12"/>
  <c r="Q185" i="12"/>
  <c r="R185" i="12"/>
  <c r="S185" i="12"/>
  <c r="L186" i="12"/>
  <c r="M186" i="12"/>
  <c r="N186" i="12"/>
  <c r="O186" i="12"/>
  <c r="P186" i="12"/>
  <c r="Q186" i="12"/>
  <c r="R186" i="12"/>
  <c r="S186" i="12"/>
  <c r="L187" i="12"/>
  <c r="M187" i="12"/>
  <c r="N187" i="12"/>
  <c r="O187" i="12"/>
  <c r="P187" i="12"/>
  <c r="Q187" i="12"/>
  <c r="R187" i="12"/>
  <c r="S187" i="12"/>
  <c r="L188" i="12"/>
  <c r="M188" i="12"/>
  <c r="N188" i="12"/>
  <c r="O188" i="12"/>
  <c r="P188" i="12"/>
  <c r="Q188" i="12"/>
  <c r="R188" i="12"/>
  <c r="S188" i="12"/>
  <c r="L189" i="12"/>
  <c r="M189" i="12"/>
  <c r="N189" i="12"/>
  <c r="O189" i="12"/>
  <c r="P189" i="12"/>
  <c r="Q189" i="12"/>
  <c r="R189" i="12"/>
  <c r="S189" i="12"/>
  <c r="L199" i="12"/>
  <c r="M199" i="12"/>
  <c r="N199" i="12"/>
  <c r="O199" i="12"/>
  <c r="P199" i="12"/>
  <c r="Q199" i="12"/>
  <c r="R199" i="12"/>
  <c r="S199" i="12"/>
  <c r="L200" i="12"/>
  <c r="M200" i="12"/>
  <c r="N200" i="12"/>
  <c r="O200" i="12"/>
  <c r="P200" i="12"/>
  <c r="Q200" i="12"/>
  <c r="R200" i="12"/>
  <c r="S200" i="12"/>
  <c r="L201" i="12"/>
  <c r="M201" i="12"/>
  <c r="N201" i="12"/>
  <c r="O201" i="12"/>
  <c r="P201" i="12"/>
  <c r="Q201" i="12"/>
  <c r="R201" i="12"/>
  <c r="S201" i="12"/>
  <c r="L202" i="12"/>
  <c r="M202" i="12"/>
  <c r="N202" i="12"/>
  <c r="O202" i="12"/>
  <c r="P202" i="12"/>
  <c r="Q202" i="12"/>
  <c r="R202" i="12"/>
  <c r="S202" i="12"/>
  <c r="L203" i="12"/>
  <c r="M203" i="12"/>
  <c r="N203" i="12"/>
  <c r="O203" i="12"/>
  <c r="P203" i="12"/>
  <c r="Q203" i="12"/>
  <c r="R203" i="12"/>
  <c r="S203" i="12"/>
  <c r="L204" i="12"/>
  <c r="M204" i="12"/>
  <c r="N204" i="12"/>
  <c r="O204" i="12"/>
  <c r="P204" i="12"/>
  <c r="Q204" i="12"/>
  <c r="R204" i="12"/>
  <c r="S204" i="12"/>
  <c r="L205" i="12"/>
  <c r="M205" i="12"/>
  <c r="N205" i="12"/>
  <c r="O205" i="12"/>
  <c r="P205" i="12"/>
  <c r="Q205" i="12"/>
  <c r="R205" i="12"/>
  <c r="S205" i="12"/>
  <c r="L206" i="12"/>
  <c r="M206" i="12"/>
  <c r="N206" i="12"/>
  <c r="O206" i="12"/>
  <c r="P206" i="12"/>
  <c r="Q206" i="12"/>
  <c r="R206" i="12"/>
  <c r="S206" i="12"/>
  <c r="L207" i="12"/>
  <c r="M207" i="12"/>
  <c r="N207" i="12"/>
  <c r="O207" i="12"/>
  <c r="P207" i="12"/>
  <c r="Q207" i="12"/>
  <c r="R207" i="12"/>
  <c r="S207" i="12"/>
  <c r="L208" i="12"/>
  <c r="M208" i="12"/>
  <c r="N208" i="12"/>
  <c r="O208" i="12"/>
  <c r="P208" i="12"/>
  <c r="Q208" i="12"/>
  <c r="R208" i="12"/>
  <c r="S208" i="12"/>
  <c r="L209" i="12"/>
  <c r="M209" i="12"/>
  <c r="N209" i="12"/>
  <c r="O209" i="12"/>
  <c r="P209" i="12"/>
  <c r="Q209" i="12"/>
  <c r="R209" i="12"/>
  <c r="S209" i="12"/>
  <c r="L210" i="12"/>
  <c r="M210" i="12"/>
  <c r="N210" i="12"/>
  <c r="O210" i="12"/>
  <c r="P210" i="12"/>
  <c r="Q210" i="12"/>
  <c r="R210" i="12"/>
  <c r="S210" i="12"/>
  <c r="L211" i="12"/>
  <c r="M211" i="12"/>
  <c r="N211" i="12"/>
  <c r="O211" i="12"/>
  <c r="P211" i="12"/>
  <c r="Q211" i="12"/>
  <c r="R211" i="12"/>
  <c r="S211" i="12"/>
  <c r="L212" i="12"/>
  <c r="M212" i="12"/>
  <c r="N212" i="12"/>
  <c r="O212" i="12"/>
  <c r="P212" i="12"/>
  <c r="Q212" i="12"/>
  <c r="R212" i="12"/>
  <c r="S212" i="12"/>
  <c r="L213" i="12"/>
  <c r="M213" i="12"/>
  <c r="N213" i="12"/>
  <c r="O213" i="12"/>
  <c r="P213" i="12"/>
  <c r="Q213" i="12"/>
  <c r="R213" i="12"/>
  <c r="S213" i="12"/>
  <c r="L215" i="12"/>
  <c r="M215" i="12"/>
  <c r="N215" i="12"/>
  <c r="O215" i="12"/>
  <c r="P215" i="12"/>
  <c r="Q215" i="12"/>
  <c r="R215" i="12"/>
  <c r="S215" i="12"/>
  <c r="L216" i="12"/>
  <c r="M216" i="12"/>
  <c r="N216" i="12"/>
  <c r="O216" i="12"/>
  <c r="P216" i="12"/>
  <c r="Q216" i="12"/>
  <c r="R216" i="12"/>
  <c r="S216" i="12"/>
  <c r="L219" i="12"/>
  <c r="M219" i="12"/>
  <c r="N219" i="12"/>
  <c r="O219" i="12"/>
  <c r="P219" i="12"/>
  <c r="Q219" i="12"/>
  <c r="R219" i="12"/>
  <c r="S219" i="12"/>
  <c r="L220" i="12"/>
  <c r="M220" i="12"/>
  <c r="N220" i="12"/>
  <c r="O220" i="12"/>
  <c r="P220" i="12"/>
  <c r="Q220" i="12"/>
  <c r="R220" i="12"/>
  <c r="S220" i="12"/>
  <c r="L222" i="12"/>
  <c r="M222" i="12"/>
  <c r="N222" i="12"/>
  <c r="O222" i="12"/>
  <c r="P222" i="12"/>
  <c r="Q222" i="12"/>
  <c r="R222" i="12"/>
  <c r="S222" i="12"/>
  <c r="L225" i="12"/>
  <c r="M225" i="12"/>
  <c r="N225" i="12"/>
  <c r="O225" i="12"/>
  <c r="P225" i="12"/>
  <c r="Q225" i="12"/>
  <c r="R225" i="12"/>
  <c r="S225" i="12"/>
  <c r="L226" i="12"/>
  <c r="M226" i="12"/>
  <c r="N226" i="12"/>
  <c r="O226" i="12"/>
  <c r="P226" i="12"/>
  <c r="Q226" i="12"/>
  <c r="R226" i="12"/>
  <c r="S226" i="12"/>
  <c r="L230" i="12"/>
  <c r="M230" i="12"/>
  <c r="N230" i="12"/>
  <c r="O230" i="12"/>
  <c r="P230" i="12"/>
  <c r="Q230" i="12"/>
  <c r="R230" i="12"/>
  <c r="S230" i="12"/>
  <c r="L231" i="12"/>
  <c r="M231" i="12"/>
  <c r="N231" i="12"/>
  <c r="O231" i="12"/>
  <c r="P231" i="12"/>
  <c r="Q231" i="12"/>
  <c r="R231" i="12"/>
  <c r="S231" i="12"/>
  <c r="L232" i="12"/>
  <c r="M232" i="12"/>
  <c r="N232" i="12"/>
  <c r="O232" i="12"/>
  <c r="P232" i="12"/>
  <c r="Q232" i="12"/>
  <c r="R232" i="12"/>
  <c r="S232" i="12"/>
  <c r="L233" i="12"/>
  <c r="M233" i="12"/>
  <c r="N233" i="12"/>
  <c r="O233" i="12"/>
  <c r="P233" i="12"/>
  <c r="Q233" i="12"/>
  <c r="R233" i="12"/>
  <c r="S233" i="12"/>
  <c r="L234" i="12"/>
  <c r="M234" i="12"/>
  <c r="N234" i="12"/>
  <c r="O234" i="12"/>
  <c r="P234" i="12"/>
  <c r="Q234" i="12"/>
  <c r="R234" i="12"/>
  <c r="S234" i="12"/>
  <c r="L235" i="12"/>
  <c r="M235" i="12"/>
  <c r="N235" i="12"/>
  <c r="O235" i="12"/>
  <c r="P235" i="12"/>
  <c r="Q235" i="12"/>
  <c r="R235" i="12"/>
  <c r="S235" i="12"/>
  <c r="L236" i="12"/>
  <c r="M236" i="12"/>
  <c r="N236" i="12"/>
  <c r="O236" i="12"/>
  <c r="P236" i="12"/>
  <c r="Q236" i="12"/>
  <c r="R236" i="12"/>
  <c r="S236" i="12"/>
  <c r="L237" i="12"/>
  <c r="M237" i="12"/>
  <c r="N237" i="12"/>
  <c r="O237" i="12"/>
  <c r="P237" i="12"/>
  <c r="Q237" i="12"/>
  <c r="R237" i="12"/>
  <c r="S237" i="12"/>
  <c r="L238" i="12"/>
  <c r="M238" i="12"/>
  <c r="N238" i="12"/>
  <c r="O238" i="12"/>
  <c r="P238" i="12"/>
  <c r="Q238" i="12"/>
  <c r="R238" i="12"/>
  <c r="S238" i="12"/>
  <c r="L108" i="12"/>
  <c r="M108" i="12"/>
  <c r="N108" i="12"/>
  <c r="O108" i="12"/>
  <c r="P108" i="12"/>
  <c r="Q108" i="12"/>
  <c r="R108" i="12"/>
  <c r="S108" i="12"/>
  <c r="L239" i="12"/>
  <c r="M239" i="12"/>
  <c r="N239" i="12"/>
  <c r="O239" i="12"/>
  <c r="P239" i="12"/>
  <c r="Q239" i="12"/>
  <c r="R239" i="12"/>
  <c r="S239" i="12"/>
  <c r="L240" i="12"/>
  <c r="M240" i="12"/>
  <c r="N240" i="12"/>
  <c r="O240" i="12"/>
  <c r="P240" i="12"/>
  <c r="Q240" i="12"/>
  <c r="R240" i="12"/>
  <c r="S240" i="12"/>
  <c r="L242" i="12"/>
  <c r="M242" i="12"/>
  <c r="N242" i="12"/>
  <c r="O242" i="12"/>
  <c r="P242" i="12"/>
  <c r="Q242" i="12"/>
  <c r="R242" i="12"/>
  <c r="S242" i="12"/>
  <c r="L243" i="12"/>
  <c r="M243" i="12"/>
  <c r="N243" i="12"/>
  <c r="O243" i="12"/>
  <c r="P243" i="12"/>
  <c r="Q243" i="12"/>
  <c r="R243" i="12"/>
  <c r="S243" i="12"/>
  <c r="L245" i="12"/>
  <c r="M245" i="12"/>
  <c r="N245" i="12"/>
  <c r="O245" i="12"/>
  <c r="P245" i="12"/>
  <c r="Q245" i="12"/>
  <c r="R245" i="12"/>
  <c r="S245" i="12"/>
  <c r="L246" i="12"/>
  <c r="M246" i="12"/>
  <c r="N246" i="12"/>
  <c r="O246" i="12"/>
  <c r="P246" i="12"/>
  <c r="Q246" i="12"/>
  <c r="R246" i="12"/>
  <c r="S246" i="12"/>
  <c r="L248" i="12"/>
  <c r="M248" i="12"/>
  <c r="N248" i="12"/>
  <c r="O248" i="12"/>
  <c r="P248" i="12"/>
  <c r="Q248" i="12"/>
  <c r="R248" i="12"/>
  <c r="S248" i="12"/>
  <c r="L249" i="12"/>
  <c r="M249" i="12"/>
  <c r="N249" i="12"/>
  <c r="O249" i="12"/>
  <c r="P249" i="12"/>
  <c r="Q249" i="12"/>
  <c r="R249" i="12"/>
  <c r="S249" i="12"/>
  <c r="L250" i="12"/>
  <c r="M250" i="12"/>
  <c r="N250" i="12"/>
  <c r="O250" i="12"/>
  <c r="P250" i="12"/>
  <c r="Q250" i="12"/>
  <c r="R250" i="12"/>
  <c r="S250" i="12"/>
  <c r="L255" i="12"/>
  <c r="M255" i="12"/>
  <c r="N255" i="12"/>
  <c r="O255" i="12"/>
  <c r="P255" i="12"/>
  <c r="Q255" i="12"/>
  <c r="R255" i="12"/>
  <c r="S255" i="12"/>
  <c r="L256" i="12"/>
  <c r="M256" i="12"/>
  <c r="N256" i="12"/>
  <c r="O256" i="12"/>
  <c r="P256" i="12"/>
  <c r="Q256" i="12"/>
  <c r="R256" i="12"/>
  <c r="S256" i="12"/>
  <c r="L257" i="12"/>
  <c r="M257" i="12"/>
  <c r="N257" i="12"/>
  <c r="O257" i="12"/>
  <c r="P257" i="12"/>
  <c r="Q257" i="12"/>
  <c r="R257" i="12"/>
  <c r="S257" i="12"/>
  <c r="L258" i="12"/>
  <c r="M258" i="12"/>
  <c r="N258" i="12"/>
  <c r="O258" i="12"/>
  <c r="P258" i="12"/>
  <c r="Q258" i="12"/>
  <c r="R258" i="12"/>
  <c r="S258" i="12"/>
  <c r="L259" i="12"/>
  <c r="M259" i="12"/>
  <c r="N259" i="12"/>
  <c r="O259" i="12"/>
  <c r="P259" i="12"/>
  <c r="Q259" i="12"/>
  <c r="R259" i="12"/>
  <c r="S259" i="12"/>
  <c r="L261" i="12"/>
  <c r="M261" i="12"/>
  <c r="N261" i="12"/>
  <c r="O261" i="12"/>
  <c r="P261" i="12"/>
  <c r="Q261" i="12"/>
  <c r="R261" i="12"/>
  <c r="S261" i="12"/>
  <c r="L262" i="12"/>
  <c r="M262" i="12"/>
  <c r="N262" i="12"/>
  <c r="O262" i="12"/>
  <c r="P262" i="12"/>
  <c r="Q262" i="12"/>
  <c r="R262" i="12"/>
  <c r="S262" i="12"/>
  <c r="L263" i="12"/>
  <c r="M263" i="12"/>
  <c r="N263" i="12"/>
  <c r="O263" i="12"/>
  <c r="P263" i="12"/>
  <c r="Q263" i="12"/>
  <c r="R263" i="12"/>
  <c r="S263" i="12"/>
  <c r="L265" i="12"/>
  <c r="M265" i="12"/>
  <c r="N265" i="12"/>
  <c r="O265" i="12"/>
  <c r="P265" i="12"/>
  <c r="Q265" i="12"/>
  <c r="R265" i="12"/>
  <c r="S265" i="12"/>
  <c r="L266" i="12"/>
  <c r="M266" i="12"/>
  <c r="N266" i="12"/>
  <c r="O266" i="12"/>
  <c r="P266" i="12"/>
  <c r="Q266" i="12"/>
  <c r="R266" i="12"/>
  <c r="S266" i="12"/>
  <c r="L268" i="12"/>
  <c r="M268" i="12"/>
  <c r="N268" i="12"/>
  <c r="O268" i="12"/>
  <c r="P268" i="12"/>
  <c r="Q268" i="12"/>
  <c r="R268" i="12"/>
  <c r="S268" i="12"/>
  <c r="L269" i="12"/>
  <c r="M269" i="12"/>
  <c r="N269" i="12"/>
  <c r="O269" i="12"/>
  <c r="P269" i="12"/>
  <c r="Q269" i="12"/>
  <c r="R269" i="12"/>
  <c r="S269" i="12"/>
  <c r="L270" i="12"/>
  <c r="M270" i="12"/>
  <c r="N270" i="12"/>
  <c r="O270" i="12"/>
  <c r="P270" i="12"/>
  <c r="Q270" i="12"/>
  <c r="R270" i="12"/>
  <c r="S270" i="12"/>
  <c r="L271" i="12"/>
  <c r="M271" i="12"/>
  <c r="N271" i="12"/>
  <c r="O271" i="12"/>
  <c r="P271" i="12"/>
  <c r="Q271" i="12"/>
  <c r="R271" i="12"/>
  <c r="S271" i="12"/>
  <c r="L272" i="12"/>
  <c r="M272" i="12"/>
  <c r="N272" i="12"/>
  <c r="O272" i="12"/>
  <c r="P272" i="12"/>
  <c r="Q272" i="12"/>
  <c r="R272" i="12"/>
  <c r="S272" i="12"/>
  <c r="L273" i="12"/>
  <c r="M273" i="12"/>
  <c r="N273" i="12"/>
  <c r="O273" i="12"/>
  <c r="P273" i="12"/>
  <c r="Q273" i="12"/>
  <c r="R273" i="12"/>
  <c r="S273" i="12"/>
  <c r="L275" i="12"/>
  <c r="M275" i="12"/>
  <c r="N275" i="12"/>
  <c r="O275" i="12"/>
  <c r="P275" i="12"/>
  <c r="Q275" i="12"/>
  <c r="R275" i="12"/>
  <c r="S275" i="12"/>
  <c r="L276" i="12"/>
  <c r="M276" i="12"/>
  <c r="N276" i="12"/>
  <c r="O276" i="12"/>
  <c r="P276" i="12"/>
  <c r="Q276" i="12"/>
  <c r="R276" i="12"/>
  <c r="S276" i="12"/>
  <c r="L277" i="12"/>
  <c r="M277" i="12"/>
  <c r="N277" i="12"/>
  <c r="O277" i="12"/>
  <c r="P277" i="12"/>
  <c r="Q277" i="12"/>
  <c r="R277" i="12"/>
  <c r="S277" i="12"/>
  <c r="L279" i="12"/>
  <c r="M279" i="12"/>
  <c r="N279" i="12"/>
  <c r="O279" i="12"/>
  <c r="P279" i="12"/>
  <c r="Q279" i="12"/>
  <c r="R279" i="12"/>
  <c r="S279" i="12"/>
  <c r="L282" i="12"/>
  <c r="M282" i="12"/>
  <c r="N282" i="12"/>
  <c r="O282" i="12"/>
  <c r="P282" i="12"/>
  <c r="Q282" i="12"/>
  <c r="R282" i="12"/>
  <c r="S282" i="12"/>
  <c r="L283" i="12"/>
  <c r="M283" i="12"/>
  <c r="N283" i="12"/>
  <c r="O283" i="12"/>
  <c r="P283" i="12"/>
  <c r="Q283" i="12"/>
  <c r="R283" i="12"/>
  <c r="S283" i="12"/>
  <c r="L284" i="12"/>
  <c r="M284" i="12"/>
  <c r="N284" i="12"/>
  <c r="O284" i="12"/>
  <c r="P284" i="12"/>
  <c r="Q284" i="12"/>
  <c r="R284" i="12"/>
  <c r="S284" i="12"/>
  <c r="L285" i="12"/>
  <c r="M285" i="12"/>
  <c r="N285" i="12"/>
  <c r="O285" i="12"/>
  <c r="P285" i="12"/>
  <c r="Q285" i="12"/>
  <c r="R285" i="12"/>
  <c r="S285" i="12"/>
  <c r="L286" i="12"/>
  <c r="M286" i="12"/>
  <c r="N286" i="12"/>
  <c r="O286" i="12"/>
  <c r="P286" i="12"/>
  <c r="Q286" i="12"/>
  <c r="R286" i="12"/>
  <c r="S286" i="12"/>
  <c r="L287" i="12"/>
  <c r="M287" i="12"/>
  <c r="N287" i="12"/>
  <c r="O287" i="12"/>
  <c r="P287" i="12"/>
  <c r="Q287" i="12"/>
  <c r="R287" i="12"/>
  <c r="S287" i="12"/>
  <c r="L288" i="12"/>
  <c r="M288" i="12"/>
  <c r="N288" i="12"/>
  <c r="O288" i="12"/>
  <c r="P288" i="12"/>
  <c r="Q288" i="12"/>
  <c r="R288" i="12"/>
  <c r="S288" i="12"/>
  <c r="L289" i="12"/>
  <c r="M289" i="12"/>
  <c r="N289" i="12"/>
  <c r="O289" i="12"/>
  <c r="P289" i="12"/>
  <c r="Q289" i="12"/>
  <c r="R289" i="12"/>
  <c r="S289" i="12"/>
  <c r="L290" i="12"/>
  <c r="M290" i="12"/>
  <c r="N290" i="12"/>
  <c r="O290" i="12"/>
  <c r="P290" i="12"/>
  <c r="Q290" i="12"/>
  <c r="R290" i="12"/>
  <c r="S290" i="12"/>
  <c r="L291" i="12"/>
  <c r="M291" i="12"/>
  <c r="N291" i="12"/>
  <c r="O291" i="12"/>
  <c r="P291" i="12"/>
  <c r="Q291" i="12"/>
  <c r="R291" i="12"/>
  <c r="S291" i="12"/>
  <c r="L292" i="12"/>
  <c r="M292" i="12"/>
  <c r="N292" i="12"/>
  <c r="O292" i="12"/>
  <c r="P292" i="12"/>
  <c r="Q292" i="12"/>
  <c r="R292" i="12"/>
  <c r="S292" i="12"/>
  <c r="L294" i="12"/>
  <c r="M294" i="12"/>
  <c r="N294" i="12"/>
  <c r="O294" i="12"/>
  <c r="P294" i="12"/>
  <c r="Q294" i="12"/>
  <c r="R294" i="12"/>
  <c r="S294" i="12"/>
  <c r="L295" i="12"/>
  <c r="M295" i="12"/>
  <c r="N295" i="12"/>
  <c r="O295" i="12"/>
  <c r="P295" i="12"/>
  <c r="Q295" i="12"/>
  <c r="R295" i="12"/>
  <c r="S295" i="12"/>
  <c r="L296" i="12"/>
  <c r="M296" i="12"/>
  <c r="N296" i="12"/>
  <c r="O296" i="12"/>
  <c r="P296" i="12"/>
  <c r="Q296" i="12"/>
  <c r="R296" i="12"/>
  <c r="S296" i="12"/>
  <c r="L298" i="12"/>
  <c r="M298" i="12"/>
  <c r="N298" i="12"/>
  <c r="O298" i="12"/>
  <c r="P298" i="12"/>
  <c r="Q298" i="12"/>
  <c r="R298" i="12"/>
  <c r="S298" i="12"/>
  <c r="L299" i="12"/>
  <c r="M299" i="12"/>
  <c r="N299" i="12"/>
  <c r="O299" i="12"/>
  <c r="P299" i="12"/>
  <c r="Q299" i="12"/>
  <c r="R299" i="12"/>
  <c r="S299" i="12"/>
  <c r="L300" i="12"/>
  <c r="M300" i="12"/>
  <c r="N300" i="12"/>
  <c r="O300" i="12"/>
  <c r="P300" i="12"/>
  <c r="Q300" i="12"/>
  <c r="R300" i="12"/>
  <c r="S300" i="12"/>
  <c r="L301" i="12"/>
  <c r="M301" i="12"/>
  <c r="N301" i="12"/>
  <c r="O301" i="12"/>
  <c r="P301" i="12"/>
  <c r="Q301" i="12"/>
  <c r="R301" i="12"/>
  <c r="S301" i="12"/>
  <c r="L302" i="12"/>
  <c r="M302" i="12"/>
  <c r="N302" i="12"/>
  <c r="O302" i="12"/>
  <c r="P302" i="12"/>
  <c r="Q302" i="12"/>
  <c r="R302" i="12"/>
  <c r="S302" i="12"/>
  <c r="L303" i="12"/>
  <c r="M303" i="12"/>
  <c r="N303" i="12"/>
  <c r="O303" i="12"/>
  <c r="P303" i="12"/>
  <c r="Q303" i="12"/>
  <c r="R303" i="12"/>
  <c r="S303" i="12"/>
  <c r="L304" i="12"/>
  <c r="M304" i="12"/>
  <c r="N304" i="12"/>
  <c r="O304" i="12"/>
  <c r="P304" i="12"/>
  <c r="Q304" i="12"/>
  <c r="R304" i="12"/>
  <c r="S304" i="12"/>
  <c r="L305" i="12"/>
  <c r="M305" i="12"/>
  <c r="N305" i="12"/>
  <c r="O305" i="12"/>
  <c r="P305" i="12"/>
  <c r="Q305" i="12"/>
  <c r="R305" i="12"/>
  <c r="S305" i="12"/>
  <c r="L306" i="12"/>
  <c r="M306" i="12"/>
  <c r="N306" i="12"/>
  <c r="O306" i="12"/>
  <c r="P306" i="12"/>
  <c r="Q306" i="12"/>
  <c r="R306" i="12"/>
  <c r="S306" i="12"/>
  <c r="L307" i="12"/>
  <c r="M307" i="12"/>
  <c r="N307" i="12"/>
  <c r="O307" i="12"/>
  <c r="P307" i="12"/>
  <c r="Q307" i="12"/>
  <c r="R307" i="12"/>
  <c r="S307" i="12"/>
  <c r="L309" i="12"/>
  <c r="M309" i="12"/>
  <c r="N309" i="12"/>
  <c r="O309" i="12"/>
  <c r="P309" i="12"/>
  <c r="Q309" i="12"/>
  <c r="R309" i="12"/>
  <c r="S309" i="12"/>
  <c r="L311" i="12"/>
  <c r="M311" i="12"/>
  <c r="N311" i="12"/>
  <c r="O311" i="12"/>
  <c r="P311" i="12"/>
  <c r="Q311" i="12"/>
  <c r="R311" i="12"/>
  <c r="S311" i="12"/>
  <c r="L312" i="12"/>
  <c r="M312" i="12"/>
  <c r="N312" i="12"/>
  <c r="O312" i="12"/>
  <c r="P312" i="12"/>
  <c r="Q312" i="12"/>
  <c r="R312" i="12"/>
  <c r="S312" i="12"/>
  <c r="L315" i="12"/>
  <c r="M315" i="12"/>
  <c r="N315" i="12"/>
  <c r="O315" i="12"/>
  <c r="P315" i="12"/>
  <c r="Q315" i="12"/>
  <c r="R315" i="12"/>
  <c r="S315" i="12"/>
  <c r="L316" i="12"/>
  <c r="M316" i="12"/>
  <c r="N316" i="12"/>
  <c r="O316" i="12"/>
  <c r="P316" i="12"/>
  <c r="Q316" i="12"/>
  <c r="R316" i="12"/>
  <c r="S316" i="12"/>
  <c r="L317" i="12"/>
  <c r="M317" i="12"/>
  <c r="N317" i="12"/>
  <c r="O317" i="12"/>
  <c r="P317" i="12"/>
  <c r="Q317" i="12"/>
  <c r="R317" i="12"/>
  <c r="S317" i="12"/>
  <c r="L319" i="12"/>
  <c r="M319" i="12"/>
  <c r="N319" i="12"/>
  <c r="O319" i="12"/>
  <c r="P319" i="12"/>
  <c r="Q319" i="12"/>
  <c r="R319" i="12"/>
  <c r="S319" i="12"/>
  <c r="L320" i="12"/>
  <c r="M320" i="12"/>
  <c r="N320" i="12"/>
  <c r="O320" i="12"/>
  <c r="P320" i="12"/>
  <c r="Q320" i="12"/>
  <c r="R320" i="12"/>
  <c r="S320" i="12"/>
  <c r="L323" i="12"/>
  <c r="M323" i="12"/>
  <c r="N323" i="12"/>
  <c r="O323" i="12"/>
  <c r="P323" i="12"/>
  <c r="Q323" i="12"/>
  <c r="R323" i="12"/>
  <c r="S323" i="12"/>
  <c r="L324" i="12"/>
  <c r="M324" i="12"/>
  <c r="N324" i="12"/>
  <c r="O324" i="12"/>
  <c r="P324" i="12"/>
  <c r="Q324" i="12"/>
  <c r="R324" i="12"/>
  <c r="S324" i="12"/>
  <c r="L326" i="12"/>
  <c r="M326" i="12"/>
  <c r="N326" i="12"/>
  <c r="O326" i="12"/>
  <c r="P326" i="12"/>
  <c r="Q326" i="12"/>
  <c r="R326" i="12"/>
  <c r="S326" i="12"/>
  <c r="L327" i="12"/>
  <c r="M327" i="12"/>
  <c r="N327" i="12"/>
  <c r="O327" i="12"/>
  <c r="P327" i="12"/>
  <c r="Q327" i="12"/>
  <c r="R327" i="12"/>
  <c r="S327" i="12"/>
  <c r="L328" i="12"/>
  <c r="M328" i="12"/>
  <c r="N328" i="12"/>
  <c r="O328" i="12"/>
  <c r="P328" i="12"/>
  <c r="Q328" i="12"/>
  <c r="R328" i="12"/>
  <c r="S328" i="12"/>
  <c r="M329" i="12"/>
  <c r="N329" i="12"/>
  <c r="O329" i="12"/>
  <c r="P329" i="12"/>
  <c r="Q329" i="12"/>
  <c r="R329" i="12"/>
  <c r="S329" i="12"/>
  <c r="S2" i="12"/>
  <c r="R2" i="12"/>
  <c r="Q2" i="12"/>
  <c r="P2" i="12"/>
  <c r="O2" i="12"/>
  <c r="N2" i="12"/>
  <c r="M2" i="12"/>
  <c r="L2" i="12"/>
  <c r="K2" i="12"/>
  <c r="B58" i="3" l="1"/>
  <c r="B18" i="3"/>
  <c r="B25" i="3"/>
  <c r="B24" i="3"/>
  <c r="A106" i="12"/>
  <c r="A113" i="4"/>
  <c r="B137" i="3"/>
  <c r="B134" i="3"/>
  <c r="T44" i="12"/>
  <c r="U44" i="12" s="1"/>
  <c r="L14" i="13"/>
  <c r="V4" i="12"/>
  <c r="Y2" i="12"/>
  <c r="X2" i="12"/>
  <c r="U75" i="7"/>
  <c r="V5" i="11"/>
  <c r="V6" i="11"/>
  <c r="V7" i="11"/>
  <c r="V8" i="11"/>
  <c r="V9" i="11"/>
  <c r="V10" i="11"/>
  <c r="V11" i="11"/>
  <c r="V4" i="11"/>
  <c r="W5" i="11"/>
  <c r="W6" i="11"/>
  <c r="W7" i="11"/>
  <c r="W8" i="11"/>
  <c r="W9" i="11"/>
  <c r="W10" i="11"/>
  <c r="W11" i="11"/>
  <c r="W4" i="11"/>
  <c r="U4" i="11"/>
  <c r="U5" i="11"/>
  <c r="U6" i="11"/>
  <c r="U7" i="11"/>
  <c r="U8" i="11"/>
  <c r="U9" i="11"/>
  <c r="U10" i="11"/>
  <c r="U11" i="11"/>
  <c r="T5" i="11"/>
  <c r="T6" i="11"/>
  <c r="T7" i="11"/>
  <c r="T8" i="11"/>
  <c r="T9" i="11"/>
  <c r="T10" i="11"/>
  <c r="T11" i="11"/>
  <c r="T4" i="11"/>
  <c r="S5" i="11"/>
  <c r="S6" i="11"/>
  <c r="S7" i="11"/>
  <c r="S8" i="11"/>
  <c r="S9" i="11"/>
  <c r="S10" i="11"/>
  <c r="S11" i="11"/>
  <c r="S4" i="11"/>
  <c r="R5" i="11"/>
  <c r="R6" i="11"/>
  <c r="R7" i="11"/>
  <c r="R8" i="11"/>
  <c r="R9" i="11"/>
  <c r="R10" i="11"/>
  <c r="R11" i="11"/>
  <c r="R4" i="11"/>
  <c r="Q5" i="11"/>
  <c r="Q6" i="11"/>
  <c r="Q7" i="11"/>
  <c r="Q8" i="11"/>
  <c r="Q9" i="11"/>
  <c r="Q10" i="11"/>
  <c r="Q11" i="11"/>
  <c r="Q4" i="11"/>
  <c r="P5" i="11"/>
  <c r="P6" i="11"/>
  <c r="P7" i="11"/>
  <c r="P8" i="11"/>
  <c r="P9" i="11"/>
  <c r="P10" i="11"/>
  <c r="P11" i="11"/>
  <c r="P4" i="11"/>
  <c r="O5" i="11"/>
  <c r="O6" i="11"/>
  <c r="O7" i="11"/>
  <c r="O8" i="11"/>
  <c r="O9" i="11"/>
  <c r="O10" i="11"/>
  <c r="O11" i="11"/>
  <c r="O4" i="11"/>
  <c r="H37" i="10" l="1"/>
  <c r="H28" i="10"/>
  <c r="J41" i="10"/>
  <c r="H25" i="10"/>
  <c r="H43" i="10"/>
  <c r="H26" i="10"/>
  <c r="H40" i="10"/>
  <c r="K7" i="6"/>
  <c r="K5" i="6"/>
  <c r="U39" i="6"/>
  <c r="K9" i="6"/>
  <c r="K11" i="6"/>
  <c r="K6" i="6"/>
  <c r="J20" i="7"/>
  <c r="A20" i="7"/>
  <c r="J10" i="7"/>
  <c r="J4" i="7"/>
  <c r="J8" i="7"/>
  <c r="J7" i="7"/>
  <c r="J12" i="7"/>
  <c r="A77" i="7"/>
  <c r="A16" i="7"/>
  <c r="A79" i="7"/>
  <c r="A78" i="7"/>
  <c r="A81" i="7"/>
  <c r="A76" i="7"/>
  <c r="A10" i="7"/>
  <c r="A7" i="7"/>
  <c r="A4" i="7"/>
  <c r="A14" i="7"/>
  <c r="A11" i="7"/>
  <c r="A8" i="7"/>
  <c r="A5" i="7"/>
  <c r="A15" i="7"/>
  <c r="A12" i="7"/>
  <c r="A9" i="7"/>
  <c r="A6" i="7"/>
  <c r="A3" i="7"/>
  <c r="A2" i="7"/>
  <c r="A13" i="7"/>
  <c r="J225" i="7"/>
  <c r="J224" i="7"/>
  <c r="J230" i="7"/>
  <c r="J37" i="7"/>
  <c r="J228" i="7"/>
  <c r="J226" i="7"/>
  <c r="J63" i="7"/>
  <c r="J2" i="7"/>
  <c r="J229" i="7"/>
  <c r="J227" i="7"/>
  <c r="J34" i="7"/>
  <c r="J33" i="7"/>
  <c r="J23" i="7"/>
  <c r="J6" i="7"/>
  <c r="J32" i="7"/>
  <c r="J22" i="7"/>
  <c r="J5" i="7"/>
  <c r="J28" i="7"/>
  <c r="J18" i="7"/>
  <c r="J36" i="7"/>
  <c r="J27" i="7"/>
  <c r="J17" i="7"/>
  <c r="F8" i="7"/>
  <c r="J35" i="7"/>
  <c r="J25" i="7"/>
  <c r="F6" i="7"/>
  <c r="J30" i="7"/>
  <c r="J21" i="7"/>
  <c r="J3" i="7"/>
  <c r="J29" i="7"/>
  <c r="J19" i="7"/>
  <c r="J16" i="7"/>
  <c r="J24" i="7"/>
  <c r="F5" i="7"/>
  <c r="A182" i="7"/>
  <c r="A178" i="7"/>
  <c r="A55" i="7"/>
  <c r="A59" i="7"/>
  <c r="A35" i="7"/>
  <c r="A108" i="7"/>
  <c r="A103" i="7"/>
  <c r="A44" i="7"/>
  <c r="A109" i="7"/>
  <c r="A102" i="7"/>
  <c r="A188" i="7"/>
  <c r="A116" i="7"/>
  <c r="A99" i="7"/>
  <c r="A176" i="7"/>
  <c r="A101" i="7"/>
  <c r="A86" i="7"/>
  <c r="L41" i="6"/>
  <c r="A175" i="7"/>
  <c r="A133" i="7"/>
  <c r="A147" i="7"/>
  <c r="A151" i="7"/>
  <c r="A174" i="7"/>
  <c r="A189" i="7"/>
  <c r="A134" i="7"/>
  <c r="A173" i="7"/>
  <c r="A207" i="7"/>
  <c r="A141" i="7"/>
  <c r="A143" i="7"/>
  <c r="A142" i="7"/>
  <c r="A181" i="7"/>
  <c r="A209" i="7"/>
  <c r="A161" i="7"/>
  <c r="A132" i="7"/>
  <c r="A208" i="7"/>
  <c r="A206" i="7"/>
  <c r="A144" i="7"/>
  <c r="A18" i="7"/>
  <c r="A21" i="7"/>
  <c r="A23" i="7"/>
  <c r="A25" i="7"/>
  <c r="A27" i="7"/>
  <c r="A29" i="7"/>
  <c r="A31" i="7"/>
  <c r="A33" i="7"/>
  <c r="A36" i="7"/>
  <c r="A38" i="7"/>
  <c r="A40" i="7"/>
  <c r="A42" i="7"/>
  <c r="A45" i="7"/>
  <c r="A47" i="7"/>
  <c r="A49" i="7"/>
  <c r="A51" i="7"/>
  <c r="A53" i="7"/>
  <c r="A56" i="7"/>
  <c r="A58" i="7"/>
  <c r="A63" i="7"/>
  <c r="A65" i="7"/>
  <c r="A67" i="7"/>
  <c r="A69" i="7"/>
  <c r="A71" i="7"/>
  <c r="A73" i="7"/>
  <c r="A75" i="7"/>
  <c r="A82" i="7"/>
  <c r="A84" i="7"/>
  <c r="A88" i="7"/>
  <c r="A90" i="7"/>
  <c r="A92" i="7"/>
  <c r="A94" i="7"/>
  <c r="A96" i="7"/>
  <c r="A98" i="7"/>
  <c r="A104" i="7"/>
  <c r="A106" i="7"/>
  <c r="A110" i="7"/>
  <c r="A112" i="7"/>
  <c r="A114" i="7"/>
  <c r="A117" i="7"/>
  <c r="A119" i="7"/>
  <c r="A121" i="7"/>
  <c r="A124" i="7"/>
  <c r="A126" i="7"/>
  <c r="A128" i="7"/>
  <c r="A130" i="7"/>
  <c r="A135" i="7"/>
  <c r="A137" i="7"/>
  <c r="A139" i="7"/>
  <c r="A145" i="7"/>
  <c r="A149" i="7"/>
  <c r="A152" i="7"/>
  <c r="A154" i="7"/>
  <c r="A156" i="7"/>
  <c r="A158" i="7"/>
  <c r="A160" i="7"/>
  <c r="A163" i="7"/>
  <c r="A165" i="7"/>
  <c r="A167" i="7"/>
  <c r="A169" i="7"/>
  <c r="A171" i="7"/>
  <c r="A177" i="7"/>
  <c r="A183" i="7"/>
  <c r="A185" i="7"/>
  <c r="A187" i="7"/>
  <c r="A191" i="7"/>
  <c r="A193" i="7"/>
  <c r="A195" i="7"/>
  <c r="A198" i="7"/>
  <c r="A200" i="7"/>
  <c r="A202" i="7"/>
  <c r="A204" i="7"/>
  <c r="A205" i="7"/>
  <c r="A211" i="7"/>
  <c r="A213" i="7"/>
  <c r="A215" i="7"/>
  <c r="A217" i="7"/>
  <c r="A219" i="7"/>
  <c r="A221" i="7"/>
  <c r="A17" i="7"/>
  <c r="A19" i="7"/>
  <c r="A22" i="7"/>
  <c r="A24" i="7"/>
  <c r="A26" i="7"/>
  <c r="A28" i="7"/>
  <c r="A30" i="7"/>
  <c r="A32" i="7"/>
  <c r="A34" i="7"/>
  <c r="A37" i="7"/>
  <c r="A39" i="7"/>
  <c r="A41" i="7"/>
  <c r="A43" i="7"/>
  <c r="A46" i="7"/>
  <c r="A48" i="7"/>
  <c r="A50" i="7"/>
  <c r="A52" i="7"/>
  <c r="A54" i="7"/>
  <c r="A57" i="7"/>
  <c r="A60" i="7"/>
  <c r="A64" i="7"/>
  <c r="A66" i="7"/>
  <c r="A68" i="7"/>
  <c r="A70" i="7"/>
  <c r="A72" i="7"/>
  <c r="A74" i="7"/>
  <c r="A83" i="7"/>
  <c r="A87" i="7"/>
  <c r="A89" i="7"/>
  <c r="A91" i="7"/>
  <c r="A93" i="7"/>
  <c r="A95" i="7"/>
  <c r="A97" i="7"/>
  <c r="A100" i="7"/>
  <c r="A105" i="7"/>
  <c r="A107" i="7"/>
  <c r="A111" i="7"/>
  <c r="A113" i="7"/>
  <c r="A115" i="7"/>
  <c r="A118" i="7"/>
  <c r="A120" i="7"/>
  <c r="A123" i="7"/>
  <c r="A125" i="7"/>
  <c r="A127" i="7"/>
  <c r="A129" i="7"/>
  <c r="A131" i="7"/>
  <c r="A136" i="7"/>
  <c r="A138" i="7"/>
  <c r="A140" i="7"/>
  <c r="A146" i="7"/>
  <c r="A150" i="7"/>
  <c r="A153" i="7"/>
  <c r="A155" i="7"/>
  <c r="A157" i="7"/>
  <c r="A159" i="7"/>
  <c r="A162" i="7"/>
  <c r="A164" i="7"/>
  <c r="A166" i="7"/>
  <c r="A168" i="7"/>
  <c r="A170" i="7"/>
  <c r="A172" i="7"/>
  <c r="A180" i="7"/>
  <c r="A184" i="7"/>
  <c r="A186" i="7"/>
  <c r="A190" i="7"/>
  <c r="A192" i="7"/>
  <c r="A194" i="7"/>
  <c r="A197" i="7"/>
  <c r="A199" i="7"/>
  <c r="A201" i="7"/>
  <c r="A203" i="7"/>
  <c r="A210" i="7"/>
  <c r="A212" i="7"/>
  <c r="A214" i="7"/>
  <c r="A216" i="7"/>
  <c r="A218" i="7"/>
  <c r="A220" i="7"/>
  <c r="A222" i="7"/>
  <c r="A230" i="7"/>
  <c r="A228" i="7"/>
  <c r="A226" i="7"/>
  <c r="A224" i="7"/>
  <c r="A229" i="7"/>
  <c r="A227" i="7"/>
  <c r="A225" i="7"/>
  <c r="A223" i="7"/>
  <c r="B4" i="13"/>
  <c r="B3" i="13"/>
  <c r="E23" i="13"/>
  <c r="E24" i="13"/>
  <c r="E25" i="13"/>
  <c r="E22" i="13"/>
  <c r="M5" i="11"/>
  <c r="M6" i="11"/>
  <c r="M7" i="11"/>
  <c r="M8" i="11"/>
  <c r="M9" i="11"/>
  <c r="M10" i="11"/>
  <c r="M11" i="11"/>
  <c r="M4" i="11"/>
  <c r="B266" i="4"/>
  <c r="B246" i="4"/>
  <c r="B504" i="12"/>
  <c r="C504" i="12"/>
  <c r="D504" i="12"/>
  <c r="E504" i="12"/>
  <c r="F504" i="12"/>
  <c r="G504" i="12"/>
  <c r="H504" i="12"/>
  <c r="I504" i="12"/>
  <c r="J504" i="12"/>
  <c r="B503" i="12"/>
  <c r="C503" i="12"/>
  <c r="D503" i="12"/>
  <c r="E503" i="12"/>
  <c r="F503" i="12"/>
  <c r="G503" i="12"/>
  <c r="H503" i="12"/>
  <c r="I503" i="12"/>
  <c r="J503" i="12"/>
  <c r="B501" i="12"/>
  <c r="C501" i="12"/>
  <c r="D501" i="12"/>
  <c r="E501" i="12"/>
  <c r="F501" i="12"/>
  <c r="G501" i="12"/>
  <c r="H501" i="12"/>
  <c r="I501" i="12"/>
  <c r="J501" i="12"/>
  <c r="B433" i="12"/>
  <c r="C433" i="12"/>
  <c r="D433" i="12"/>
  <c r="E433" i="12"/>
  <c r="F433" i="12"/>
  <c r="G433" i="12"/>
  <c r="H433" i="12"/>
  <c r="I433" i="12"/>
  <c r="J433" i="12"/>
  <c r="B377" i="12"/>
  <c r="C377" i="12"/>
  <c r="D377" i="12"/>
  <c r="E377" i="12"/>
  <c r="F377" i="12"/>
  <c r="G377" i="12"/>
  <c r="H377" i="12"/>
  <c r="I377" i="12"/>
  <c r="J377" i="12"/>
  <c r="B358" i="12"/>
  <c r="C358" i="12"/>
  <c r="D358" i="12"/>
  <c r="E358" i="12"/>
  <c r="F358" i="12"/>
  <c r="G358" i="12"/>
  <c r="H358" i="12"/>
  <c r="I358" i="12"/>
  <c r="J358" i="12"/>
  <c r="B347" i="12"/>
  <c r="C347" i="12"/>
  <c r="D347" i="12"/>
  <c r="E347" i="12"/>
  <c r="F347" i="12"/>
  <c r="G347" i="12"/>
  <c r="H347" i="12"/>
  <c r="I347" i="12"/>
  <c r="J347" i="12"/>
  <c r="B326" i="12"/>
  <c r="C326" i="12"/>
  <c r="D326" i="12"/>
  <c r="E326" i="12"/>
  <c r="F326" i="12"/>
  <c r="G326" i="12"/>
  <c r="H326" i="12"/>
  <c r="I326" i="12"/>
  <c r="J326" i="12"/>
  <c r="K326" i="12"/>
  <c r="B320" i="12"/>
  <c r="C320" i="12"/>
  <c r="D320" i="12"/>
  <c r="E320" i="12"/>
  <c r="F320" i="12"/>
  <c r="G320" i="12"/>
  <c r="H320" i="12"/>
  <c r="I320" i="12"/>
  <c r="J320" i="12"/>
  <c r="K320" i="12"/>
  <c r="B312" i="12"/>
  <c r="C312" i="12"/>
  <c r="D312" i="12"/>
  <c r="E312" i="12"/>
  <c r="F312" i="12"/>
  <c r="G312" i="12"/>
  <c r="H312" i="12"/>
  <c r="I312" i="12"/>
  <c r="J312" i="12"/>
  <c r="K312" i="12"/>
  <c r="B315" i="12"/>
  <c r="C315" i="12"/>
  <c r="D315" i="12"/>
  <c r="E315" i="12"/>
  <c r="F315" i="12"/>
  <c r="G315" i="12"/>
  <c r="H315" i="12"/>
  <c r="I315" i="12"/>
  <c r="J315" i="12"/>
  <c r="K315" i="12"/>
  <c r="B316" i="12"/>
  <c r="C316" i="12"/>
  <c r="D316" i="12"/>
  <c r="E316" i="12"/>
  <c r="F316" i="12"/>
  <c r="G316" i="12"/>
  <c r="H316" i="12"/>
  <c r="I316" i="12"/>
  <c r="J316" i="12"/>
  <c r="K316" i="12"/>
  <c r="B317" i="12"/>
  <c r="C317" i="12"/>
  <c r="D317" i="12"/>
  <c r="E317" i="12"/>
  <c r="F317" i="12"/>
  <c r="G317" i="12"/>
  <c r="H317" i="12"/>
  <c r="I317" i="12"/>
  <c r="J317" i="12"/>
  <c r="K317" i="12"/>
  <c r="B304" i="12"/>
  <c r="C304" i="12"/>
  <c r="D304" i="12"/>
  <c r="E304" i="12"/>
  <c r="F304" i="12"/>
  <c r="G304" i="12"/>
  <c r="H304" i="12"/>
  <c r="I304" i="12"/>
  <c r="J304" i="12"/>
  <c r="K304" i="12"/>
  <c r="B305" i="12"/>
  <c r="C305" i="12"/>
  <c r="D305" i="12"/>
  <c r="E305" i="12"/>
  <c r="F305" i="12"/>
  <c r="G305" i="12"/>
  <c r="H305" i="12"/>
  <c r="I305" i="12"/>
  <c r="J305" i="12"/>
  <c r="K305" i="12"/>
  <c r="B306" i="12"/>
  <c r="C306" i="12"/>
  <c r="D306" i="12"/>
  <c r="E306" i="12"/>
  <c r="F306" i="12"/>
  <c r="G306" i="12"/>
  <c r="H306" i="12"/>
  <c r="I306" i="12"/>
  <c r="J306" i="12"/>
  <c r="K306" i="12"/>
  <c r="B307" i="12"/>
  <c r="C307" i="12"/>
  <c r="D307" i="12"/>
  <c r="E307" i="12"/>
  <c r="F307" i="12"/>
  <c r="G307" i="12"/>
  <c r="H307" i="12"/>
  <c r="I307" i="12"/>
  <c r="J307" i="12"/>
  <c r="K307" i="12"/>
  <c r="B309" i="12"/>
  <c r="C309" i="12"/>
  <c r="D309" i="12"/>
  <c r="E309" i="12"/>
  <c r="F309" i="12"/>
  <c r="G309" i="12"/>
  <c r="H309" i="12"/>
  <c r="I309" i="12"/>
  <c r="J309" i="12"/>
  <c r="K309" i="12"/>
  <c r="B294" i="12"/>
  <c r="C294" i="12"/>
  <c r="D294" i="12"/>
  <c r="E294" i="12"/>
  <c r="F294" i="12"/>
  <c r="G294" i="12"/>
  <c r="H294" i="12"/>
  <c r="I294" i="12"/>
  <c r="J294" i="12"/>
  <c r="K294" i="12"/>
  <c r="B295" i="12"/>
  <c r="C295" i="12"/>
  <c r="D295" i="12"/>
  <c r="E295" i="12"/>
  <c r="F295" i="12"/>
  <c r="G295" i="12"/>
  <c r="H295" i="12"/>
  <c r="I295" i="12"/>
  <c r="J295" i="12"/>
  <c r="K295" i="12"/>
  <c r="B296" i="12"/>
  <c r="C296" i="12"/>
  <c r="D296" i="12"/>
  <c r="E296" i="12"/>
  <c r="F296" i="12"/>
  <c r="G296" i="12"/>
  <c r="H296" i="12"/>
  <c r="I296" i="12"/>
  <c r="J296" i="12"/>
  <c r="K296" i="12"/>
  <c r="B291" i="12"/>
  <c r="C291" i="12"/>
  <c r="D291" i="12"/>
  <c r="E291" i="12"/>
  <c r="F291" i="12"/>
  <c r="G291" i="12"/>
  <c r="H291" i="12"/>
  <c r="I291" i="12"/>
  <c r="J291" i="12"/>
  <c r="K291" i="12"/>
  <c r="B275" i="12"/>
  <c r="C275" i="12"/>
  <c r="D275" i="12"/>
  <c r="E275" i="12"/>
  <c r="F275" i="12"/>
  <c r="G275" i="12"/>
  <c r="H275" i="12"/>
  <c r="I275" i="12"/>
  <c r="J275" i="12"/>
  <c r="K275" i="12"/>
  <c r="B276" i="12"/>
  <c r="C276" i="12"/>
  <c r="D276" i="12"/>
  <c r="E276" i="12"/>
  <c r="F276" i="12"/>
  <c r="G276" i="12"/>
  <c r="H276" i="12"/>
  <c r="I276" i="12"/>
  <c r="J276" i="12"/>
  <c r="K276" i="12"/>
  <c r="B277" i="12"/>
  <c r="C277" i="12"/>
  <c r="D277" i="12"/>
  <c r="E277" i="12"/>
  <c r="F277" i="12"/>
  <c r="G277" i="12"/>
  <c r="H277" i="12"/>
  <c r="I277" i="12"/>
  <c r="J277" i="12"/>
  <c r="K277" i="12"/>
  <c r="B279" i="12"/>
  <c r="C279" i="12"/>
  <c r="D279" i="12"/>
  <c r="E279" i="12"/>
  <c r="F279" i="12"/>
  <c r="G279" i="12"/>
  <c r="H279" i="12"/>
  <c r="I279" i="12"/>
  <c r="J279" i="12"/>
  <c r="K279" i="12"/>
  <c r="B265" i="12"/>
  <c r="C265" i="12"/>
  <c r="D265" i="12"/>
  <c r="E265" i="12"/>
  <c r="F265" i="12"/>
  <c r="G265" i="12"/>
  <c r="H265" i="12"/>
  <c r="I265" i="12"/>
  <c r="J265" i="12"/>
  <c r="K265" i="12"/>
  <c r="B266" i="12"/>
  <c r="C266" i="12"/>
  <c r="D266" i="12"/>
  <c r="E266" i="12"/>
  <c r="F266" i="12"/>
  <c r="G266" i="12"/>
  <c r="H266" i="12"/>
  <c r="I266" i="12"/>
  <c r="J266" i="12"/>
  <c r="K266" i="12"/>
  <c r="B268" i="12"/>
  <c r="C268" i="12"/>
  <c r="D268" i="12"/>
  <c r="E268" i="12"/>
  <c r="F268" i="12"/>
  <c r="G268" i="12"/>
  <c r="H268" i="12"/>
  <c r="I268" i="12"/>
  <c r="J268" i="12"/>
  <c r="K268" i="12"/>
  <c r="B269" i="12"/>
  <c r="C269" i="12"/>
  <c r="D269" i="12"/>
  <c r="E269" i="12"/>
  <c r="F269" i="12"/>
  <c r="G269" i="12"/>
  <c r="H269" i="12"/>
  <c r="I269" i="12"/>
  <c r="J269" i="12"/>
  <c r="K269" i="12"/>
  <c r="B261" i="12"/>
  <c r="C261" i="12"/>
  <c r="D261" i="12"/>
  <c r="E261" i="12"/>
  <c r="F261" i="12"/>
  <c r="G261" i="12"/>
  <c r="H261" i="12"/>
  <c r="I261" i="12"/>
  <c r="J261" i="12"/>
  <c r="K261" i="12"/>
  <c r="B262" i="12"/>
  <c r="C262" i="12"/>
  <c r="D262" i="12"/>
  <c r="E262" i="12"/>
  <c r="F262" i="12"/>
  <c r="G262" i="12"/>
  <c r="H262" i="12"/>
  <c r="I262" i="12"/>
  <c r="J262" i="12"/>
  <c r="K262" i="12"/>
  <c r="B246" i="12"/>
  <c r="C246" i="12"/>
  <c r="D246" i="12"/>
  <c r="E246" i="12"/>
  <c r="F246" i="12"/>
  <c r="G246" i="12"/>
  <c r="H246" i="12"/>
  <c r="I246" i="12"/>
  <c r="J246" i="12"/>
  <c r="K246" i="12"/>
  <c r="B240" i="12"/>
  <c r="C240" i="12"/>
  <c r="D240" i="12"/>
  <c r="E240" i="12"/>
  <c r="F240" i="12"/>
  <c r="G240" i="12"/>
  <c r="H240" i="12"/>
  <c r="I240" i="12"/>
  <c r="J240" i="12"/>
  <c r="K240" i="12"/>
  <c r="B242" i="12"/>
  <c r="C242" i="12"/>
  <c r="D242" i="12"/>
  <c r="E242" i="12"/>
  <c r="F242" i="12"/>
  <c r="G242" i="12"/>
  <c r="H242" i="12"/>
  <c r="I242" i="12"/>
  <c r="J242" i="12"/>
  <c r="K242" i="12"/>
  <c r="B230" i="12"/>
  <c r="C230" i="12"/>
  <c r="D230" i="12"/>
  <c r="E230" i="12"/>
  <c r="F230" i="12"/>
  <c r="G230" i="12"/>
  <c r="H230" i="12"/>
  <c r="I230" i="12"/>
  <c r="J230" i="12"/>
  <c r="K230" i="12"/>
  <c r="B213" i="12"/>
  <c r="C213" i="12"/>
  <c r="D213" i="12"/>
  <c r="E213" i="12"/>
  <c r="F213" i="12"/>
  <c r="G213" i="12"/>
  <c r="H213" i="12"/>
  <c r="I213" i="12"/>
  <c r="J213" i="12"/>
  <c r="K213" i="12"/>
  <c r="B215" i="12"/>
  <c r="C215" i="12"/>
  <c r="D215" i="12"/>
  <c r="E215" i="12"/>
  <c r="F215" i="12"/>
  <c r="G215" i="12"/>
  <c r="H215" i="12"/>
  <c r="I215" i="12"/>
  <c r="J215" i="12"/>
  <c r="K215" i="12"/>
  <c r="B216" i="12"/>
  <c r="C216" i="12"/>
  <c r="D216" i="12"/>
  <c r="E216" i="12"/>
  <c r="F216" i="12"/>
  <c r="G216" i="12"/>
  <c r="H216" i="12"/>
  <c r="I216" i="12"/>
  <c r="J216" i="12"/>
  <c r="K216" i="12"/>
  <c r="B219" i="12"/>
  <c r="C219" i="12"/>
  <c r="D219" i="12"/>
  <c r="E219" i="12"/>
  <c r="F219" i="12"/>
  <c r="G219" i="12"/>
  <c r="H219" i="12"/>
  <c r="I219" i="12"/>
  <c r="J219" i="12"/>
  <c r="K219" i="12"/>
  <c r="B220" i="12"/>
  <c r="C220" i="12"/>
  <c r="D220" i="12"/>
  <c r="E220" i="12"/>
  <c r="F220" i="12"/>
  <c r="G220" i="12"/>
  <c r="H220" i="12"/>
  <c r="I220" i="12"/>
  <c r="J220" i="12"/>
  <c r="K220" i="12"/>
  <c r="B222" i="12"/>
  <c r="C222" i="12"/>
  <c r="D222" i="12"/>
  <c r="E222" i="12"/>
  <c r="F222" i="12"/>
  <c r="G222" i="12"/>
  <c r="H222" i="12"/>
  <c r="I222" i="12"/>
  <c r="J222" i="12"/>
  <c r="K222" i="12"/>
  <c r="B225" i="12"/>
  <c r="C225" i="12"/>
  <c r="D225" i="12"/>
  <c r="E225" i="12"/>
  <c r="F225" i="12"/>
  <c r="G225" i="12"/>
  <c r="H225" i="12"/>
  <c r="I225" i="12"/>
  <c r="J225" i="12"/>
  <c r="K225" i="12"/>
  <c r="B226" i="12"/>
  <c r="C226" i="12"/>
  <c r="D226" i="12"/>
  <c r="E226" i="12"/>
  <c r="F226" i="12"/>
  <c r="G226" i="12"/>
  <c r="H226" i="12"/>
  <c r="I226" i="12"/>
  <c r="J226" i="12"/>
  <c r="K226" i="12"/>
  <c r="B199" i="12"/>
  <c r="C199" i="12"/>
  <c r="D199" i="12"/>
  <c r="E199" i="12"/>
  <c r="F199" i="12"/>
  <c r="G199" i="12"/>
  <c r="H199" i="12"/>
  <c r="I199" i="12"/>
  <c r="J199" i="12"/>
  <c r="K199" i="12"/>
  <c r="B200" i="12"/>
  <c r="C200" i="12"/>
  <c r="D200" i="12"/>
  <c r="E200" i="12"/>
  <c r="F200" i="12"/>
  <c r="G200" i="12"/>
  <c r="H200" i="12"/>
  <c r="I200" i="12"/>
  <c r="J200" i="12"/>
  <c r="K200" i="12"/>
  <c r="B201" i="12"/>
  <c r="C201" i="12"/>
  <c r="D201" i="12"/>
  <c r="E201" i="12"/>
  <c r="F201" i="12"/>
  <c r="G201" i="12"/>
  <c r="H201" i="12"/>
  <c r="I201" i="12"/>
  <c r="J201" i="12"/>
  <c r="K201" i="12"/>
  <c r="B202" i="12"/>
  <c r="C202" i="12"/>
  <c r="D202" i="12"/>
  <c r="E202" i="12"/>
  <c r="F202" i="12"/>
  <c r="G202" i="12"/>
  <c r="H202" i="12"/>
  <c r="I202" i="12"/>
  <c r="J202" i="12"/>
  <c r="K202" i="12"/>
  <c r="B203" i="12"/>
  <c r="C203" i="12"/>
  <c r="D203" i="12"/>
  <c r="E203" i="12"/>
  <c r="F203" i="12"/>
  <c r="G203" i="12"/>
  <c r="H203" i="12"/>
  <c r="I203" i="12"/>
  <c r="J203" i="12"/>
  <c r="K203" i="12"/>
  <c r="B204" i="12"/>
  <c r="C204" i="12"/>
  <c r="D204" i="12"/>
  <c r="E204" i="12"/>
  <c r="F204" i="12"/>
  <c r="G204" i="12"/>
  <c r="H204" i="12"/>
  <c r="I204" i="12"/>
  <c r="J204" i="12"/>
  <c r="K204" i="12"/>
  <c r="B205" i="12"/>
  <c r="C205" i="12"/>
  <c r="D205" i="12"/>
  <c r="E205" i="12"/>
  <c r="F205" i="12"/>
  <c r="G205" i="12"/>
  <c r="H205" i="12"/>
  <c r="I205" i="12"/>
  <c r="J205" i="12"/>
  <c r="K205" i="12"/>
  <c r="B206" i="12"/>
  <c r="C206" i="12"/>
  <c r="D206" i="12"/>
  <c r="E206" i="12"/>
  <c r="F206" i="12"/>
  <c r="G206" i="12"/>
  <c r="H206" i="12"/>
  <c r="I206" i="12"/>
  <c r="J206" i="12"/>
  <c r="K206" i="12"/>
  <c r="B207" i="12"/>
  <c r="C207" i="12"/>
  <c r="D207" i="12"/>
  <c r="E207" i="12"/>
  <c r="F207" i="12"/>
  <c r="G207" i="12"/>
  <c r="H207" i="12"/>
  <c r="I207" i="12"/>
  <c r="J207" i="12"/>
  <c r="K207" i="12"/>
  <c r="B208" i="12"/>
  <c r="C208" i="12"/>
  <c r="D208" i="12"/>
  <c r="E208" i="12"/>
  <c r="F208" i="12"/>
  <c r="G208" i="12"/>
  <c r="H208" i="12"/>
  <c r="I208" i="12"/>
  <c r="J208" i="12"/>
  <c r="K208" i="12"/>
  <c r="B209" i="12"/>
  <c r="C209" i="12"/>
  <c r="D209" i="12"/>
  <c r="E209" i="12"/>
  <c r="F209" i="12"/>
  <c r="G209" i="12"/>
  <c r="H209" i="12"/>
  <c r="I209" i="12"/>
  <c r="J209" i="12"/>
  <c r="K209" i="12"/>
  <c r="B185" i="12"/>
  <c r="C185" i="12"/>
  <c r="D185" i="12"/>
  <c r="E185" i="12"/>
  <c r="F185" i="12"/>
  <c r="G185" i="12"/>
  <c r="H185" i="12"/>
  <c r="I185" i="12"/>
  <c r="J185" i="12"/>
  <c r="K185" i="12"/>
  <c r="B186" i="12"/>
  <c r="C186" i="12"/>
  <c r="D186" i="12"/>
  <c r="E186" i="12"/>
  <c r="F186" i="12"/>
  <c r="G186" i="12"/>
  <c r="H186" i="12"/>
  <c r="I186" i="12"/>
  <c r="J186" i="12"/>
  <c r="K186" i="12"/>
  <c r="B187" i="12"/>
  <c r="C187" i="12"/>
  <c r="D187" i="12"/>
  <c r="E187" i="12"/>
  <c r="F187" i="12"/>
  <c r="G187" i="12"/>
  <c r="H187" i="12"/>
  <c r="I187" i="12"/>
  <c r="J187" i="12"/>
  <c r="K187" i="12"/>
  <c r="B182" i="12"/>
  <c r="C182" i="12"/>
  <c r="D182" i="12"/>
  <c r="E182" i="12"/>
  <c r="F182" i="12"/>
  <c r="G182" i="12"/>
  <c r="H182" i="12"/>
  <c r="I182" i="12"/>
  <c r="J182" i="12"/>
  <c r="K182" i="12"/>
  <c r="B177" i="12"/>
  <c r="C177" i="12"/>
  <c r="D177" i="12"/>
  <c r="E177" i="12"/>
  <c r="F177" i="12"/>
  <c r="G177" i="12"/>
  <c r="H177" i="12"/>
  <c r="I177" i="12"/>
  <c r="J177" i="12"/>
  <c r="K177" i="12"/>
  <c r="B169" i="12"/>
  <c r="C169" i="12"/>
  <c r="D169" i="12"/>
  <c r="E169" i="12"/>
  <c r="F169" i="12"/>
  <c r="G169" i="12"/>
  <c r="H169" i="12"/>
  <c r="I169" i="12"/>
  <c r="J169" i="12"/>
  <c r="K169" i="12"/>
  <c r="B170" i="12"/>
  <c r="C170" i="12"/>
  <c r="D170" i="12"/>
  <c r="E170" i="12"/>
  <c r="F170" i="12"/>
  <c r="G170" i="12"/>
  <c r="H170" i="12"/>
  <c r="I170" i="12"/>
  <c r="J170" i="12"/>
  <c r="K170" i="12"/>
  <c r="B171" i="12"/>
  <c r="C171" i="12"/>
  <c r="D171" i="12"/>
  <c r="E171" i="12"/>
  <c r="F171" i="12"/>
  <c r="G171" i="12"/>
  <c r="H171" i="12"/>
  <c r="I171" i="12"/>
  <c r="J171" i="12"/>
  <c r="K171" i="12"/>
  <c r="B162" i="12"/>
  <c r="C162" i="12"/>
  <c r="D162" i="12"/>
  <c r="E162" i="12"/>
  <c r="F162" i="12"/>
  <c r="G162" i="12"/>
  <c r="H162" i="12"/>
  <c r="I162" i="12"/>
  <c r="J162" i="12"/>
  <c r="K162" i="12"/>
  <c r="B146" i="12"/>
  <c r="C146" i="12"/>
  <c r="D146" i="12"/>
  <c r="E146" i="12"/>
  <c r="F146" i="12"/>
  <c r="G146" i="12"/>
  <c r="H146" i="12"/>
  <c r="I146" i="12"/>
  <c r="J146" i="12"/>
  <c r="K146" i="12"/>
  <c r="B148" i="12"/>
  <c r="C148" i="12"/>
  <c r="D148" i="12"/>
  <c r="E148" i="12"/>
  <c r="F148" i="12"/>
  <c r="G148" i="12"/>
  <c r="H148" i="12"/>
  <c r="I148" i="12"/>
  <c r="J148" i="12"/>
  <c r="K148" i="12"/>
  <c r="B150" i="12"/>
  <c r="C150" i="12"/>
  <c r="D150" i="12"/>
  <c r="E150" i="12"/>
  <c r="F150" i="12"/>
  <c r="G150" i="12"/>
  <c r="H150" i="12"/>
  <c r="I150" i="12"/>
  <c r="J150" i="12"/>
  <c r="K150" i="12"/>
  <c r="B151" i="12"/>
  <c r="C151" i="12"/>
  <c r="D151" i="12"/>
  <c r="E151" i="12"/>
  <c r="F151" i="12"/>
  <c r="G151" i="12"/>
  <c r="H151" i="12"/>
  <c r="I151" i="12"/>
  <c r="J151" i="12"/>
  <c r="K151" i="12"/>
  <c r="B152" i="12"/>
  <c r="C152" i="12"/>
  <c r="D152" i="12"/>
  <c r="E152" i="12"/>
  <c r="F152" i="12"/>
  <c r="G152" i="12"/>
  <c r="H152" i="12"/>
  <c r="I152" i="12"/>
  <c r="J152" i="12"/>
  <c r="K152" i="12"/>
  <c r="B155" i="12"/>
  <c r="C155" i="12"/>
  <c r="D155" i="12"/>
  <c r="E155" i="12"/>
  <c r="F155" i="12"/>
  <c r="G155" i="12"/>
  <c r="H155" i="12"/>
  <c r="I155" i="12"/>
  <c r="J155" i="12"/>
  <c r="K155" i="12"/>
  <c r="B156" i="12"/>
  <c r="C156" i="12"/>
  <c r="D156" i="12"/>
  <c r="E156" i="12"/>
  <c r="F156" i="12"/>
  <c r="G156" i="12"/>
  <c r="H156" i="12"/>
  <c r="I156" i="12"/>
  <c r="J156" i="12"/>
  <c r="K156" i="12"/>
  <c r="B157" i="12"/>
  <c r="C157" i="12"/>
  <c r="D157" i="12"/>
  <c r="E157" i="12"/>
  <c r="F157" i="12"/>
  <c r="G157" i="12"/>
  <c r="H157" i="12"/>
  <c r="I157" i="12"/>
  <c r="J157" i="12"/>
  <c r="K157" i="12"/>
  <c r="B158" i="12"/>
  <c r="C158" i="12"/>
  <c r="D158" i="12"/>
  <c r="E158" i="12"/>
  <c r="F158" i="12"/>
  <c r="G158" i="12"/>
  <c r="H158" i="12"/>
  <c r="I158" i="12"/>
  <c r="J158" i="12"/>
  <c r="K158" i="12"/>
  <c r="B138" i="12"/>
  <c r="C138" i="12"/>
  <c r="D138" i="12"/>
  <c r="E138" i="12"/>
  <c r="F138" i="12"/>
  <c r="G138" i="12"/>
  <c r="H138" i="12"/>
  <c r="I138" i="12"/>
  <c r="J138" i="12"/>
  <c r="K138" i="12"/>
  <c r="B139" i="12"/>
  <c r="C139" i="12"/>
  <c r="D139" i="12"/>
  <c r="E139" i="12"/>
  <c r="F139" i="12"/>
  <c r="G139" i="12"/>
  <c r="H139" i="12"/>
  <c r="I139" i="12"/>
  <c r="J139" i="12"/>
  <c r="K139" i="12"/>
  <c r="B140" i="12"/>
  <c r="C140" i="12"/>
  <c r="D140" i="12"/>
  <c r="E140" i="12"/>
  <c r="F140" i="12"/>
  <c r="G140" i="12"/>
  <c r="H140" i="12"/>
  <c r="I140" i="12"/>
  <c r="J140" i="12"/>
  <c r="K140" i="12"/>
  <c r="B141" i="12"/>
  <c r="C141" i="12"/>
  <c r="D141" i="12"/>
  <c r="E141" i="12"/>
  <c r="F141" i="12"/>
  <c r="G141" i="12"/>
  <c r="H141" i="12"/>
  <c r="I141" i="12"/>
  <c r="J141" i="12"/>
  <c r="K141" i="12"/>
  <c r="B134" i="12"/>
  <c r="C134" i="12"/>
  <c r="D134" i="12"/>
  <c r="E134" i="12"/>
  <c r="F134" i="12"/>
  <c r="G134" i="12"/>
  <c r="H134" i="12"/>
  <c r="I134" i="12"/>
  <c r="J134" i="12"/>
  <c r="K134" i="12"/>
  <c r="B135" i="12"/>
  <c r="C135" i="12"/>
  <c r="D135" i="12"/>
  <c r="E135" i="12"/>
  <c r="F135" i="12"/>
  <c r="G135" i="12"/>
  <c r="H135" i="12"/>
  <c r="I135" i="12"/>
  <c r="J135" i="12"/>
  <c r="K135" i="12"/>
  <c r="B124" i="12"/>
  <c r="C124" i="12"/>
  <c r="D124" i="12"/>
  <c r="E124" i="12"/>
  <c r="F124" i="12"/>
  <c r="G124" i="12"/>
  <c r="H124" i="12"/>
  <c r="I124" i="12"/>
  <c r="J124" i="12"/>
  <c r="K124" i="12"/>
  <c r="B125" i="12"/>
  <c r="C125" i="12"/>
  <c r="D125" i="12"/>
  <c r="E125" i="12"/>
  <c r="F125" i="12"/>
  <c r="G125" i="12"/>
  <c r="H125" i="12"/>
  <c r="I125" i="12"/>
  <c r="J125" i="12"/>
  <c r="K125" i="12"/>
  <c r="B121" i="12"/>
  <c r="C121" i="12"/>
  <c r="D121" i="12"/>
  <c r="E121" i="12"/>
  <c r="F121" i="12"/>
  <c r="G121" i="12"/>
  <c r="H121" i="12"/>
  <c r="I121" i="12"/>
  <c r="J121" i="12"/>
  <c r="K121" i="12"/>
  <c r="B88" i="12"/>
  <c r="C88" i="12"/>
  <c r="D88" i="12"/>
  <c r="E88" i="12"/>
  <c r="F88" i="12"/>
  <c r="G88" i="12"/>
  <c r="H88" i="12"/>
  <c r="I88" i="12"/>
  <c r="J88" i="12"/>
  <c r="K88" i="12"/>
  <c r="B89" i="12"/>
  <c r="C89" i="12"/>
  <c r="D89" i="12"/>
  <c r="E89" i="12"/>
  <c r="F89" i="12"/>
  <c r="G89" i="12"/>
  <c r="H89" i="12"/>
  <c r="I89" i="12"/>
  <c r="J89" i="12"/>
  <c r="K89" i="12"/>
  <c r="B90" i="12"/>
  <c r="C90" i="12"/>
  <c r="D90" i="12"/>
  <c r="E90" i="12"/>
  <c r="F90" i="12"/>
  <c r="G90" i="12"/>
  <c r="H90" i="12"/>
  <c r="I90" i="12"/>
  <c r="J90" i="12"/>
  <c r="K90" i="12"/>
  <c r="B91" i="12"/>
  <c r="C91" i="12"/>
  <c r="D91" i="12"/>
  <c r="E91" i="12"/>
  <c r="F91" i="12"/>
  <c r="G91" i="12"/>
  <c r="H91" i="12"/>
  <c r="I91" i="12"/>
  <c r="J91" i="12"/>
  <c r="K91" i="12"/>
  <c r="B81" i="12"/>
  <c r="C81" i="12"/>
  <c r="D81" i="12"/>
  <c r="E81" i="12"/>
  <c r="F81" i="12"/>
  <c r="G81" i="12"/>
  <c r="H81" i="12"/>
  <c r="I81" i="12"/>
  <c r="J81" i="12"/>
  <c r="K81" i="12"/>
  <c r="B82" i="12"/>
  <c r="C82" i="12"/>
  <c r="D82" i="12"/>
  <c r="E82" i="12"/>
  <c r="F82" i="12"/>
  <c r="G82" i="12"/>
  <c r="H82" i="12"/>
  <c r="I82" i="12"/>
  <c r="J82" i="12"/>
  <c r="K82" i="12"/>
  <c r="B83" i="12"/>
  <c r="C83" i="12"/>
  <c r="D83" i="12"/>
  <c r="E83" i="12"/>
  <c r="F83" i="12"/>
  <c r="G83" i="12"/>
  <c r="H83" i="12"/>
  <c r="I83" i="12"/>
  <c r="J83" i="12"/>
  <c r="K83" i="12"/>
  <c r="B73" i="12"/>
  <c r="C73" i="12"/>
  <c r="D73" i="12"/>
  <c r="E73" i="12"/>
  <c r="F73" i="12"/>
  <c r="G73" i="12"/>
  <c r="H73" i="12"/>
  <c r="I73" i="12"/>
  <c r="J73" i="12"/>
  <c r="K73" i="12"/>
  <c r="B78" i="12"/>
  <c r="C78" i="12"/>
  <c r="D78" i="12"/>
  <c r="E78" i="12"/>
  <c r="F78" i="12"/>
  <c r="G78" i="12"/>
  <c r="H78" i="12"/>
  <c r="I78" i="12"/>
  <c r="J78" i="12"/>
  <c r="K78" i="12"/>
  <c r="B76" i="12"/>
  <c r="C76" i="12"/>
  <c r="D76" i="12"/>
  <c r="E76" i="12"/>
  <c r="F76" i="12"/>
  <c r="G76" i="12"/>
  <c r="H76" i="12"/>
  <c r="I76" i="12"/>
  <c r="J76" i="12"/>
  <c r="K76" i="12"/>
  <c r="B79" i="12"/>
  <c r="C79" i="12"/>
  <c r="D79" i="12"/>
  <c r="E79" i="12"/>
  <c r="F79" i="12"/>
  <c r="G79" i="12"/>
  <c r="H79" i="12"/>
  <c r="I79" i="12"/>
  <c r="J79" i="12"/>
  <c r="K79" i="12"/>
  <c r="B52" i="12"/>
  <c r="C52" i="12"/>
  <c r="D52" i="12"/>
  <c r="E52" i="12"/>
  <c r="F52" i="12"/>
  <c r="G52" i="12"/>
  <c r="H52" i="12"/>
  <c r="I52" i="12"/>
  <c r="J52" i="12"/>
  <c r="K52" i="12"/>
  <c r="B57" i="12"/>
  <c r="C57" i="12"/>
  <c r="D57" i="12"/>
  <c r="E57" i="12"/>
  <c r="F57" i="12"/>
  <c r="G57" i="12"/>
  <c r="H57" i="12"/>
  <c r="I57" i="12"/>
  <c r="J57" i="12"/>
  <c r="K57" i="12"/>
  <c r="B58" i="12"/>
  <c r="C58" i="12"/>
  <c r="D58" i="12"/>
  <c r="E58" i="12"/>
  <c r="F58" i="12"/>
  <c r="G58" i="12"/>
  <c r="H58" i="12"/>
  <c r="I58" i="12"/>
  <c r="J58" i="12"/>
  <c r="K58" i="12"/>
  <c r="B59" i="12"/>
  <c r="C59" i="12"/>
  <c r="D59" i="12"/>
  <c r="E59" i="12"/>
  <c r="F59" i="12"/>
  <c r="G59" i="12"/>
  <c r="H59" i="12"/>
  <c r="I59" i="12"/>
  <c r="J59" i="12"/>
  <c r="K59" i="12"/>
  <c r="B60" i="12"/>
  <c r="C60" i="12"/>
  <c r="D60" i="12"/>
  <c r="E60" i="12"/>
  <c r="F60" i="12"/>
  <c r="G60" i="12"/>
  <c r="H60" i="12"/>
  <c r="I60" i="12"/>
  <c r="J60" i="12"/>
  <c r="K60" i="12"/>
  <c r="B62" i="12"/>
  <c r="C62" i="12"/>
  <c r="D62" i="12"/>
  <c r="E62" i="12"/>
  <c r="F62" i="12"/>
  <c r="G62" i="12"/>
  <c r="H62" i="12"/>
  <c r="I62" i="12"/>
  <c r="J62" i="12"/>
  <c r="K62" i="12"/>
  <c r="B51" i="12"/>
  <c r="C51" i="12"/>
  <c r="D51" i="12"/>
  <c r="E51" i="12"/>
  <c r="F51" i="12"/>
  <c r="G51" i="12"/>
  <c r="H51" i="12"/>
  <c r="I51" i="12"/>
  <c r="J51" i="12"/>
  <c r="K51" i="12"/>
  <c r="B45" i="12"/>
  <c r="C45" i="12"/>
  <c r="D45" i="12"/>
  <c r="E45" i="12"/>
  <c r="F45" i="12"/>
  <c r="G45" i="12"/>
  <c r="H45" i="12"/>
  <c r="I45" i="12"/>
  <c r="J45" i="12"/>
  <c r="K45" i="12"/>
  <c r="B46" i="12"/>
  <c r="C46" i="12"/>
  <c r="D46" i="12"/>
  <c r="E46" i="12"/>
  <c r="F46" i="12"/>
  <c r="G46" i="12"/>
  <c r="H46" i="12"/>
  <c r="I46" i="12"/>
  <c r="J46" i="12"/>
  <c r="K46" i="12"/>
  <c r="B47" i="12"/>
  <c r="C47" i="12"/>
  <c r="D47" i="12"/>
  <c r="E47" i="12"/>
  <c r="F47" i="12"/>
  <c r="G47" i="12"/>
  <c r="H47" i="12"/>
  <c r="I47" i="12"/>
  <c r="J47" i="12"/>
  <c r="K47" i="12"/>
  <c r="B34" i="12"/>
  <c r="C34" i="12"/>
  <c r="D34" i="12"/>
  <c r="E34" i="12"/>
  <c r="F34" i="12"/>
  <c r="G34" i="12"/>
  <c r="H34" i="12"/>
  <c r="I34" i="12"/>
  <c r="J34" i="12"/>
  <c r="K34" i="12"/>
  <c r="B35" i="12"/>
  <c r="C35" i="12"/>
  <c r="D35" i="12"/>
  <c r="E35" i="12"/>
  <c r="F35" i="12"/>
  <c r="G35" i="12"/>
  <c r="H35" i="12"/>
  <c r="I35" i="12"/>
  <c r="J35" i="12"/>
  <c r="K35" i="12"/>
  <c r="B37" i="12"/>
  <c r="C37" i="12"/>
  <c r="D37" i="12"/>
  <c r="E37" i="12"/>
  <c r="F37" i="12"/>
  <c r="G37" i="12"/>
  <c r="H37" i="12"/>
  <c r="I37" i="12"/>
  <c r="J37" i="12"/>
  <c r="K37" i="12"/>
  <c r="B38" i="12"/>
  <c r="C38" i="12"/>
  <c r="D38" i="12"/>
  <c r="E38" i="12"/>
  <c r="F38" i="12"/>
  <c r="G38" i="12"/>
  <c r="H38" i="12"/>
  <c r="I38" i="12"/>
  <c r="J38" i="12"/>
  <c r="K38" i="12"/>
  <c r="B30" i="12"/>
  <c r="C30" i="12"/>
  <c r="D30" i="12"/>
  <c r="E30" i="12"/>
  <c r="F30" i="12"/>
  <c r="G30" i="12"/>
  <c r="H30" i="12"/>
  <c r="I30" i="12"/>
  <c r="J30" i="12"/>
  <c r="K30" i="12"/>
  <c r="B7" i="12"/>
  <c r="C7" i="12"/>
  <c r="D7" i="12"/>
  <c r="E7" i="12"/>
  <c r="F7" i="12"/>
  <c r="G7" i="12"/>
  <c r="H7" i="12"/>
  <c r="I7" i="12"/>
  <c r="J7" i="12"/>
  <c r="K7" i="12"/>
  <c r="B8" i="12"/>
  <c r="C8" i="12"/>
  <c r="D8" i="12"/>
  <c r="E8" i="12"/>
  <c r="F8" i="12"/>
  <c r="G8" i="12"/>
  <c r="H8" i="12"/>
  <c r="I8" i="12"/>
  <c r="J8" i="12"/>
  <c r="K8" i="12"/>
  <c r="B9" i="12"/>
  <c r="C9" i="12"/>
  <c r="D9" i="12"/>
  <c r="E9" i="12"/>
  <c r="F9" i="12"/>
  <c r="G9" i="12"/>
  <c r="H9" i="12"/>
  <c r="I9" i="12"/>
  <c r="J9" i="12"/>
  <c r="K9" i="12"/>
  <c r="B10" i="12"/>
  <c r="C10" i="12"/>
  <c r="D10" i="12"/>
  <c r="E10" i="12"/>
  <c r="F10" i="12"/>
  <c r="G10" i="12"/>
  <c r="H10" i="12"/>
  <c r="I10" i="12"/>
  <c r="J10" i="12"/>
  <c r="K10" i="12"/>
  <c r="K8" i="6" l="1"/>
  <c r="K10" i="6"/>
  <c r="S364" i="12"/>
  <c r="S365" i="12"/>
  <c r="S334" i="12"/>
  <c r="S335" i="12"/>
  <c r="S336" i="12"/>
  <c r="S337" i="12"/>
  <c r="S338" i="12"/>
  <c r="S339" i="12"/>
  <c r="S342" i="12"/>
  <c r="S343" i="12"/>
  <c r="S344" i="12"/>
  <c r="S345" i="12"/>
  <c r="S346" i="12"/>
  <c r="S347" i="12"/>
  <c r="S349" i="12"/>
  <c r="S350" i="12"/>
  <c r="S351" i="12"/>
  <c r="S352" i="12"/>
  <c r="S353" i="12"/>
  <c r="S354" i="12"/>
  <c r="S355" i="12"/>
  <c r="S356" i="12"/>
  <c r="S357" i="12"/>
  <c r="S358" i="12"/>
  <c r="S359" i="12"/>
  <c r="S360" i="12"/>
  <c r="S361" i="12"/>
  <c r="S362" i="12"/>
  <c r="S363" i="12"/>
  <c r="S366" i="12"/>
  <c r="S367" i="12"/>
  <c r="S368" i="12"/>
  <c r="S369" i="12"/>
  <c r="S370" i="12"/>
  <c r="S371" i="12"/>
  <c r="S372" i="12"/>
  <c r="S373" i="12"/>
  <c r="S374" i="12"/>
  <c r="S375" i="12"/>
  <c r="S376" i="12"/>
  <c r="S377" i="12"/>
  <c r="S378" i="12"/>
  <c r="S380" i="12"/>
  <c r="S381" i="12"/>
  <c r="S382" i="12"/>
  <c r="S383" i="12"/>
  <c r="S384" i="12"/>
  <c r="S385" i="12"/>
  <c r="S386" i="12"/>
  <c r="S387" i="12"/>
  <c r="S388" i="12"/>
  <c r="S389" i="12"/>
  <c r="S390" i="12"/>
  <c r="S391" i="12"/>
  <c r="S392" i="12"/>
  <c r="S393" i="12"/>
  <c r="S394" i="12"/>
  <c r="S395" i="12"/>
  <c r="S396" i="12"/>
  <c r="S397" i="12"/>
  <c r="S398" i="12"/>
  <c r="S399" i="12"/>
  <c r="S400" i="12"/>
  <c r="S401" i="12"/>
  <c r="S402" i="12"/>
  <c r="S403" i="12"/>
  <c r="S404" i="12"/>
  <c r="S405" i="12"/>
  <c r="S406" i="12"/>
  <c r="S407" i="12"/>
  <c r="S408" i="12"/>
  <c r="S409" i="12"/>
  <c r="S410" i="12"/>
  <c r="S411" i="12"/>
  <c r="S412" i="12"/>
  <c r="S413" i="12"/>
  <c r="S414" i="12"/>
  <c r="S416" i="12"/>
  <c r="S417" i="12"/>
  <c r="S418" i="12"/>
  <c r="S419" i="12"/>
  <c r="S420" i="12"/>
  <c r="S421" i="12"/>
  <c r="S422" i="12"/>
  <c r="S423" i="12"/>
  <c r="S424" i="12"/>
  <c r="S425" i="12"/>
  <c r="S426" i="12"/>
  <c r="S427" i="12"/>
  <c r="S428" i="12"/>
  <c r="S429" i="12"/>
  <c r="S430" i="12"/>
  <c r="S431" i="12"/>
  <c r="S432" i="12"/>
  <c r="S433" i="12"/>
  <c r="S434" i="12"/>
  <c r="S435" i="12"/>
  <c r="S436" i="12"/>
  <c r="S437" i="12"/>
  <c r="S438" i="12"/>
  <c r="S439" i="12"/>
  <c r="S440" i="12"/>
  <c r="S441" i="12"/>
  <c r="S442" i="12"/>
  <c r="S443" i="12"/>
  <c r="S444" i="12"/>
  <c r="S445" i="12"/>
  <c r="S446" i="12"/>
  <c r="S447" i="12"/>
  <c r="S448" i="12"/>
  <c r="S449" i="12"/>
  <c r="S450" i="12"/>
  <c r="S451" i="12"/>
  <c r="S452" i="12"/>
  <c r="S453" i="12"/>
  <c r="S454" i="12"/>
  <c r="S455" i="12"/>
  <c r="S456" i="12"/>
  <c r="S457" i="12"/>
  <c r="S458" i="12"/>
  <c r="S459" i="12"/>
  <c r="S460" i="12"/>
  <c r="S461" i="12"/>
  <c r="S462" i="12"/>
  <c r="S463" i="12"/>
  <c r="S464" i="12"/>
  <c r="S465" i="12"/>
  <c r="S467" i="12"/>
  <c r="S468" i="12"/>
  <c r="S469" i="12"/>
  <c r="S470" i="12"/>
  <c r="S471" i="12"/>
  <c r="S472" i="12"/>
  <c r="S473" i="12"/>
  <c r="S474" i="12"/>
  <c r="S475" i="12"/>
  <c r="S476" i="12"/>
  <c r="S477" i="12"/>
  <c r="S478" i="12"/>
  <c r="S480" i="12"/>
  <c r="S482" i="12"/>
  <c r="S483" i="12"/>
  <c r="S484" i="12"/>
  <c r="S485" i="12"/>
  <c r="S487" i="12"/>
  <c r="S488" i="12"/>
  <c r="S489" i="12"/>
  <c r="S490" i="12"/>
  <c r="S491" i="12"/>
  <c r="S492" i="12"/>
  <c r="S493" i="12"/>
  <c r="S494" i="12"/>
  <c r="S495" i="12"/>
  <c r="S496" i="12"/>
  <c r="S497" i="12"/>
  <c r="S498" i="12"/>
  <c r="S500" i="12"/>
  <c r="S501" i="12"/>
  <c r="S502" i="12"/>
  <c r="S503" i="12"/>
  <c r="S504" i="12"/>
  <c r="S505" i="12"/>
  <c r="S506" i="12"/>
  <c r="S507" i="12"/>
  <c r="S508" i="12"/>
  <c r="S509" i="12"/>
  <c r="S510" i="12"/>
  <c r="S511" i="12"/>
  <c r="S512" i="12"/>
  <c r="S513" i="12"/>
  <c r="S514" i="12"/>
  <c r="S515" i="12"/>
  <c r="S517" i="12"/>
  <c r="S518" i="12"/>
  <c r="S519" i="12"/>
  <c r="S520" i="12"/>
  <c r="S521" i="12"/>
  <c r="S522" i="12"/>
  <c r="S523" i="12"/>
  <c r="S524" i="12"/>
  <c r="S525" i="12"/>
  <c r="S526" i="12"/>
  <c r="S527" i="12"/>
  <c r="S528" i="12"/>
  <c r="S529" i="12"/>
  <c r="S530" i="12"/>
  <c r="S531" i="12"/>
  <c r="S532" i="12"/>
  <c r="S333" i="12"/>
  <c r="T10" i="12"/>
  <c r="U10" i="12" s="1"/>
  <c r="T9" i="12"/>
  <c r="U9" i="12" s="1"/>
  <c r="T7" i="12"/>
  <c r="U7" i="12" s="1"/>
  <c r="T30" i="12"/>
  <c r="U30" i="12" s="1"/>
  <c r="T37" i="12"/>
  <c r="U37" i="12" s="1"/>
  <c r="T47" i="12"/>
  <c r="U47" i="12" s="1"/>
  <c r="T8" i="12"/>
  <c r="U8" i="12" s="1"/>
  <c r="T38" i="12"/>
  <c r="U38" i="12" s="1"/>
  <c r="T35" i="12"/>
  <c r="U35" i="12" s="1"/>
  <c r="T34" i="12"/>
  <c r="U34" i="12" s="1"/>
  <c r="T46" i="12"/>
  <c r="U46" i="12" s="1"/>
  <c r="T45" i="12"/>
  <c r="U45" i="12" s="1"/>
  <c r="T51" i="12"/>
  <c r="U51" i="12" s="1"/>
  <c r="T62" i="12"/>
  <c r="U62" i="12" s="1"/>
  <c r="T60" i="12"/>
  <c r="U60" i="12" s="1"/>
  <c r="T59" i="12"/>
  <c r="U59" i="12" s="1"/>
  <c r="T58" i="12"/>
  <c r="U58" i="12" s="1"/>
  <c r="T57" i="12"/>
  <c r="U57" i="12" s="1"/>
  <c r="T52" i="12"/>
  <c r="U52" i="12" s="1"/>
  <c r="T79" i="12"/>
  <c r="U79" i="12" s="1"/>
  <c r="T76" i="12"/>
  <c r="U76" i="12" s="1"/>
  <c r="T78" i="12"/>
  <c r="U78" i="12" s="1"/>
  <c r="T73" i="12"/>
  <c r="U73" i="12" s="1"/>
  <c r="T83" i="12"/>
  <c r="U83" i="12" s="1"/>
  <c r="T82" i="12"/>
  <c r="U82" i="12" s="1"/>
  <c r="T81" i="12"/>
  <c r="U81" i="12" s="1"/>
  <c r="AB8" i="12" s="1"/>
  <c r="T91" i="12"/>
  <c r="U91" i="12" s="1"/>
  <c r="B5" i="3" s="1"/>
  <c r="T90" i="12"/>
  <c r="U90" i="12" s="1"/>
  <c r="T89" i="12"/>
  <c r="U89" i="12" s="1"/>
  <c r="T88" i="12"/>
  <c r="U88" i="12" s="1"/>
  <c r="T121" i="12"/>
  <c r="U121" i="12" s="1"/>
  <c r="T125" i="12"/>
  <c r="U125" i="12" s="1"/>
  <c r="T124" i="12"/>
  <c r="U124" i="12" s="1"/>
  <c r="T135" i="12"/>
  <c r="U135" i="12" s="1"/>
  <c r="T134" i="12"/>
  <c r="U134" i="12" s="1"/>
  <c r="T141" i="12"/>
  <c r="U141" i="12" s="1"/>
  <c r="T140" i="12"/>
  <c r="U140" i="12" s="1"/>
  <c r="T139" i="12"/>
  <c r="U139" i="12" s="1"/>
  <c r="T138" i="12"/>
  <c r="U138" i="12" s="1"/>
  <c r="T158" i="12"/>
  <c r="U158" i="12" s="1"/>
  <c r="T157" i="12"/>
  <c r="U157" i="12" s="1"/>
  <c r="T156" i="12"/>
  <c r="U156" i="12" s="1"/>
  <c r="T155" i="12"/>
  <c r="U155" i="12" s="1"/>
  <c r="T152" i="12"/>
  <c r="U152" i="12" s="1"/>
  <c r="T151" i="12"/>
  <c r="U151" i="12" s="1"/>
  <c r="T150" i="12"/>
  <c r="U150" i="12" s="1"/>
  <c r="T148" i="12"/>
  <c r="U148" i="12" s="1"/>
  <c r="T146" i="12"/>
  <c r="U146" i="12" s="1"/>
  <c r="T162" i="12"/>
  <c r="U162" i="12" s="1"/>
  <c r="T171" i="12"/>
  <c r="U171" i="12" s="1"/>
  <c r="T170" i="12"/>
  <c r="U170" i="12" s="1"/>
  <c r="T169" i="12"/>
  <c r="U169" i="12" s="1"/>
  <c r="T177" i="12"/>
  <c r="U177" i="12" s="1"/>
  <c r="T182" i="12"/>
  <c r="U182" i="12" s="1"/>
  <c r="T187" i="12"/>
  <c r="U187" i="12" s="1"/>
  <c r="T186" i="12"/>
  <c r="U186" i="12" s="1"/>
  <c r="T185" i="12"/>
  <c r="U185" i="12" s="1"/>
  <c r="T209" i="12"/>
  <c r="U209" i="12" s="1"/>
  <c r="T208" i="12"/>
  <c r="U208" i="12" s="1"/>
  <c r="T207" i="12"/>
  <c r="U207" i="12" s="1"/>
  <c r="T206" i="12"/>
  <c r="U206" i="12" s="1"/>
  <c r="T205" i="12"/>
  <c r="U205" i="12" s="1"/>
  <c r="T204" i="12"/>
  <c r="U204" i="12" s="1"/>
  <c r="T203" i="12"/>
  <c r="U203" i="12" s="1"/>
  <c r="T202" i="12"/>
  <c r="U202" i="12" s="1"/>
  <c r="T201" i="12"/>
  <c r="U201" i="12" s="1"/>
  <c r="T200" i="12"/>
  <c r="U200" i="12" s="1"/>
  <c r="T199" i="12"/>
  <c r="U199" i="12" s="1"/>
  <c r="T226" i="12"/>
  <c r="U226" i="12" s="1"/>
  <c r="T225" i="12"/>
  <c r="U225" i="12" s="1"/>
  <c r="AA13" i="12" s="1"/>
  <c r="T222" i="12"/>
  <c r="U222" i="12" s="1"/>
  <c r="T220" i="12"/>
  <c r="U220" i="12" s="1"/>
  <c r="T219" i="12"/>
  <c r="U219" i="12" s="1"/>
  <c r="T216" i="12"/>
  <c r="U216" i="12" s="1"/>
  <c r="T215" i="12"/>
  <c r="U215" i="12" s="1"/>
  <c r="T213" i="12"/>
  <c r="U213" i="12" s="1"/>
  <c r="T230" i="12"/>
  <c r="U230" i="12" s="1"/>
  <c r="T242" i="12"/>
  <c r="U242" i="12" s="1"/>
  <c r="T240" i="12"/>
  <c r="U240" i="12" s="1"/>
  <c r="T246" i="12"/>
  <c r="U246" i="12" s="1"/>
  <c r="T262" i="12"/>
  <c r="U262" i="12" s="1"/>
  <c r="T261" i="12"/>
  <c r="U261" i="12" s="1"/>
  <c r="T269" i="12"/>
  <c r="U269" i="12" s="1"/>
  <c r="T268" i="12"/>
  <c r="U268" i="12" s="1"/>
  <c r="T266" i="12"/>
  <c r="U266" i="12" s="1"/>
  <c r="T265" i="12"/>
  <c r="U265" i="12" s="1"/>
  <c r="T279" i="12"/>
  <c r="U279" i="12" s="1"/>
  <c r="T277" i="12"/>
  <c r="U277" i="12" s="1"/>
  <c r="T276" i="12"/>
  <c r="U276" i="12" s="1"/>
  <c r="T275" i="12"/>
  <c r="U275" i="12" s="1"/>
  <c r="T291" i="12"/>
  <c r="U291" i="12" s="1"/>
  <c r="T296" i="12"/>
  <c r="U296" i="12" s="1"/>
  <c r="T295" i="12"/>
  <c r="U295" i="12" s="1"/>
  <c r="T294" i="12"/>
  <c r="U294" i="12" s="1"/>
  <c r="T309" i="12"/>
  <c r="U309" i="12" s="1"/>
  <c r="T307" i="12"/>
  <c r="U307" i="12" s="1"/>
  <c r="T306" i="12"/>
  <c r="U306" i="12" s="1"/>
  <c r="T305" i="12"/>
  <c r="U305" i="12" s="1"/>
  <c r="T304" i="12"/>
  <c r="U304" i="12" s="1"/>
  <c r="T317" i="12"/>
  <c r="U317" i="12" s="1"/>
  <c r="T316" i="12"/>
  <c r="U316" i="12" s="1"/>
  <c r="T315" i="12"/>
  <c r="U315" i="12" s="1"/>
  <c r="T312" i="12"/>
  <c r="U312" i="12" s="1"/>
  <c r="T320" i="12"/>
  <c r="U320" i="12" s="1"/>
  <c r="T326" i="12"/>
  <c r="U326" i="12" s="1"/>
  <c r="B93" i="3" l="1"/>
  <c r="B199" i="3"/>
  <c r="B94" i="3"/>
  <c r="B201" i="3"/>
  <c r="B23" i="3"/>
  <c r="B95" i="3"/>
  <c r="B8" i="3"/>
  <c r="B91" i="3"/>
  <c r="B7" i="3"/>
  <c r="B92" i="3"/>
  <c r="B20" i="3"/>
  <c r="B200" i="3"/>
  <c r="B6" i="3"/>
  <c r="B19" i="3"/>
  <c r="B198" i="3"/>
  <c r="B21" i="3"/>
  <c r="B113" i="3"/>
  <c r="B22" i="3"/>
  <c r="AA12" i="12"/>
  <c r="F10" i="13" l="1"/>
  <c r="G10" i="13" s="1"/>
  <c r="F11" i="13"/>
  <c r="G11" i="13" s="1"/>
  <c r="F12" i="13"/>
  <c r="G12" i="13" s="1"/>
  <c r="F13" i="13"/>
  <c r="G13" i="13" s="1"/>
  <c r="F14" i="13"/>
  <c r="G14" i="13" s="1"/>
  <c r="F15" i="13"/>
  <c r="G15" i="13" s="1"/>
  <c r="F16" i="13"/>
  <c r="G16" i="13" s="1"/>
  <c r="F17" i="13"/>
  <c r="G17" i="13" s="1"/>
  <c r="F18" i="13"/>
  <c r="G18" i="13" s="1"/>
  <c r="F9" i="13"/>
  <c r="G9" i="13" s="1"/>
  <c r="E10" i="13"/>
  <c r="E11" i="13"/>
  <c r="E12" i="13"/>
  <c r="E13" i="13"/>
  <c r="E14" i="13"/>
  <c r="E15" i="13"/>
  <c r="E16" i="13"/>
  <c r="E17" i="13"/>
  <c r="E18" i="13"/>
  <c r="E9" i="13"/>
  <c r="B22" i="12" l="1"/>
  <c r="C22" i="12"/>
  <c r="D22" i="12"/>
  <c r="E22" i="12"/>
  <c r="F22" i="12"/>
  <c r="G22" i="12"/>
  <c r="H22" i="12"/>
  <c r="I22" i="12"/>
  <c r="J22" i="12"/>
  <c r="K22" i="12"/>
  <c r="T22" i="12" l="1"/>
  <c r="U22" i="12" s="1"/>
  <c r="R7" i="9"/>
  <c r="R8" i="9"/>
  <c r="R9" i="9"/>
  <c r="R10" i="9"/>
  <c r="R11" i="9"/>
  <c r="R12" i="9"/>
  <c r="R13" i="9"/>
  <c r="BJ38" i="2" l="1"/>
  <c r="BJ36" i="2"/>
  <c r="BJ37" i="2"/>
  <c r="BJ34" i="2"/>
  <c r="BJ35" i="2"/>
  <c r="A5" i="9"/>
  <c r="A6" i="9"/>
  <c r="A7" i="9"/>
  <c r="A8" i="9"/>
  <c r="A9" i="9"/>
  <c r="A10" i="9"/>
  <c r="A11" i="9"/>
  <c r="A12" i="9"/>
  <c r="A13" i="9"/>
  <c r="A4" i="9"/>
  <c r="B26" i="12"/>
  <c r="C26" i="12"/>
  <c r="D26" i="12"/>
  <c r="E26" i="12"/>
  <c r="F26" i="12"/>
  <c r="G26" i="12"/>
  <c r="H26" i="12"/>
  <c r="I26" i="12"/>
  <c r="J26" i="12"/>
  <c r="K26" i="12"/>
  <c r="T26" i="12" l="1"/>
  <c r="U26" i="12" s="1"/>
  <c r="J58" i="10"/>
  <c r="V15" i="9" l="1"/>
  <c r="J112" i="10" l="1"/>
  <c r="J43" i="10"/>
  <c r="J39" i="10"/>
  <c r="Q11" i="9" l="1"/>
  <c r="N11" i="9"/>
  <c r="M11" i="9"/>
  <c r="K11" i="9"/>
  <c r="J11" i="9"/>
  <c r="H11" i="9"/>
  <c r="G11" i="9"/>
  <c r="N7" i="9" l="1"/>
  <c r="N8" i="9"/>
  <c r="N9" i="9"/>
  <c r="N10" i="9"/>
  <c r="N12" i="9"/>
  <c r="N13" i="9"/>
  <c r="J34" i="10"/>
  <c r="J71" i="10"/>
  <c r="F71" i="10"/>
  <c r="F66" i="10"/>
  <c r="J70" i="10"/>
  <c r="H70" i="10"/>
  <c r="H72" i="10"/>
  <c r="F96" i="10"/>
  <c r="F95" i="10"/>
  <c r="H81" i="10" l="1"/>
  <c r="H75" i="10"/>
  <c r="H59" i="10"/>
  <c r="H56" i="10"/>
  <c r="F59" i="10"/>
  <c r="F64" i="10"/>
  <c r="J75" i="10"/>
  <c r="J110" i="10"/>
  <c r="H110" i="10"/>
  <c r="H89" i="10"/>
  <c r="F110" i="10"/>
  <c r="F109" i="10"/>
  <c r="F108" i="10"/>
  <c r="F115" i="10"/>
  <c r="H93" i="10"/>
  <c r="H90" i="10"/>
  <c r="F93" i="10"/>
  <c r="F92" i="10"/>
  <c r="F98" i="10"/>
  <c r="F73" i="10"/>
  <c r="F102" i="10"/>
  <c r="H62" i="10"/>
  <c r="H109" i="10"/>
  <c r="J124" i="10"/>
  <c r="F124" i="10"/>
  <c r="F116" i="10"/>
  <c r="F104" i="10"/>
  <c r="F103" i="10"/>
  <c r="H5" i="11" l="1"/>
  <c r="H6" i="11"/>
  <c r="H7" i="11"/>
  <c r="H8" i="11"/>
  <c r="H9" i="11"/>
  <c r="H10" i="11"/>
  <c r="H11" i="11"/>
  <c r="H4" i="11"/>
  <c r="W31" i="9" l="1"/>
  <c r="W30" i="9"/>
  <c r="N30" i="9"/>
  <c r="N31" i="9"/>
  <c r="Q13" i="9" l="1"/>
  <c r="M13" i="9"/>
  <c r="K13" i="9"/>
  <c r="J13" i="9"/>
  <c r="H13" i="9"/>
  <c r="G13" i="9"/>
  <c r="L6" i="11"/>
  <c r="J6" i="11"/>
  <c r="I6" i="11"/>
  <c r="G6" i="11"/>
  <c r="B6" i="11"/>
  <c r="B19" i="12" l="1"/>
  <c r="C19" i="12"/>
  <c r="D19" i="12"/>
  <c r="E19" i="12"/>
  <c r="F19" i="12"/>
  <c r="G19" i="12"/>
  <c r="H19" i="12"/>
  <c r="I19" i="12"/>
  <c r="J19" i="12"/>
  <c r="K19" i="12"/>
  <c r="Q7" i="9"/>
  <c r="Q8" i="9"/>
  <c r="Q9" i="9"/>
  <c r="Q10" i="9"/>
  <c r="Q12" i="9"/>
  <c r="T19" i="12" l="1"/>
  <c r="U19" i="12" s="1"/>
  <c r="BJ33" i="2" s="1"/>
  <c r="B18" i="12"/>
  <c r="C18" i="12"/>
  <c r="D18" i="12"/>
  <c r="E18" i="12"/>
  <c r="F18" i="12"/>
  <c r="G18" i="12"/>
  <c r="H18" i="12"/>
  <c r="I18" i="12"/>
  <c r="J18" i="12"/>
  <c r="K18" i="12"/>
  <c r="T18" i="12" l="1"/>
  <c r="U18" i="12" s="1"/>
  <c r="BJ29" i="2" s="1"/>
  <c r="BI11" i="2"/>
  <c r="BI6" i="2"/>
  <c r="B17" i="10" l="1"/>
  <c r="B18" i="10"/>
  <c r="B3" i="10"/>
  <c r="B13" i="10"/>
  <c r="B15" i="10"/>
  <c r="B5" i="10"/>
  <c r="B20" i="10"/>
  <c r="F47" i="10"/>
  <c r="F49" i="10"/>
  <c r="F50" i="10"/>
  <c r="H50" i="10"/>
  <c r="H46" i="10"/>
  <c r="H54" i="10"/>
  <c r="H55" i="10"/>
  <c r="F51" i="10"/>
  <c r="F54" i="10"/>
  <c r="F57" i="10"/>
  <c r="F61" i="10"/>
  <c r="M7" i="9"/>
  <c r="M8" i="9"/>
  <c r="M9" i="9"/>
  <c r="M12" i="9"/>
  <c r="K7" i="9"/>
  <c r="K8" i="9"/>
  <c r="K9" i="9"/>
  <c r="K10" i="9"/>
  <c r="K12" i="9"/>
  <c r="J7" i="9"/>
  <c r="J8" i="9"/>
  <c r="J9" i="9"/>
  <c r="J10" i="9"/>
  <c r="J12" i="9"/>
  <c r="H7" i="9"/>
  <c r="H8" i="9"/>
  <c r="H9" i="9"/>
  <c r="H10" i="9"/>
  <c r="H12" i="9"/>
  <c r="G7" i="9"/>
  <c r="G8" i="9"/>
  <c r="G9" i="9"/>
  <c r="G10" i="9"/>
  <c r="G12" i="9"/>
  <c r="T26" i="9" l="1"/>
  <c r="V25" i="9"/>
  <c r="T25" i="9"/>
  <c r="R27" i="9"/>
  <c r="B52" i="1"/>
  <c r="R26" i="9"/>
  <c r="H128" i="10" l="1"/>
  <c r="F125" i="10"/>
  <c r="H101" i="10"/>
  <c r="F107" i="10" l="1"/>
  <c r="F83" i="10"/>
  <c r="H84" i="10"/>
  <c r="F65" i="10"/>
  <c r="B20" i="12"/>
  <c r="C20" i="12"/>
  <c r="D20" i="12"/>
  <c r="E20" i="12"/>
  <c r="F20" i="12"/>
  <c r="G20" i="12"/>
  <c r="H20" i="12"/>
  <c r="I20" i="12"/>
  <c r="J20" i="12"/>
  <c r="K20" i="12"/>
  <c r="B21" i="12"/>
  <c r="C21" i="12"/>
  <c r="D21" i="12"/>
  <c r="E21" i="12"/>
  <c r="F21" i="12"/>
  <c r="G21" i="12"/>
  <c r="H21" i="12"/>
  <c r="I21" i="12"/>
  <c r="J21" i="12"/>
  <c r="K21" i="12"/>
  <c r="B24" i="12"/>
  <c r="C24" i="12"/>
  <c r="D24" i="12"/>
  <c r="E24" i="12"/>
  <c r="F24" i="12"/>
  <c r="G24" i="12"/>
  <c r="H24" i="12"/>
  <c r="I24" i="12"/>
  <c r="J24" i="12"/>
  <c r="K24" i="12"/>
  <c r="B25" i="12"/>
  <c r="C25" i="12"/>
  <c r="D25" i="12"/>
  <c r="E25" i="12"/>
  <c r="F25" i="12"/>
  <c r="G25" i="12"/>
  <c r="H25" i="12"/>
  <c r="I25" i="12"/>
  <c r="J25" i="12"/>
  <c r="K25" i="12"/>
  <c r="T21" i="12" l="1"/>
  <c r="U21" i="12" s="1"/>
  <c r="T25" i="12"/>
  <c r="U25" i="12" s="1"/>
  <c r="T24" i="12"/>
  <c r="U24" i="12" s="1"/>
  <c r="T20" i="12"/>
  <c r="U20" i="12" s="1"/>
  <c r="B16" i="10" l="1"/>
  <c r="B14" i="10"/>
  <c r="P20" i="6"/>
  <c r="P21" i="6"/>
  <c r="P22" i="6"/>
  <c r="P23" i="6"/>
  <c r="P24" i="6"/>
  <c r="P25" i="6"/>
  <c r="P26" i="6"/>
  <c r="P27" i="6"/>
  <c r="P28" i="6"/>
  <c r="P29" i="6"/>
  <c r="P30" i="6"/>
  <c r="P31" i="6"/>
  <c r="P32" i="6"/>
  <c r="P33" i="6"/>
  <c r="P19" i="6"/>
  <c r="H20" i="6"/>
  <c r="H21" i="6"/>
  <c r="H22" i="6"/>
  <c r="H23" i="6"/>
  <c r="H24" i="6"/>
  <c r="H25" i="6"/>
  <c r="H26" i="6"/>
  <c r="H27" i="6"/>
  <c r="H28" i="6"/>
  <c r="H29" i="6"/>
  <c r="H30" i="6"/>
  <c r="H31" i="6"/>
  <c r="H32" i="6"/>
  <c r="H33" i="6"/>
  <c r="H19" i="6"/>
  <c r="A19" i="6"/>
  <c r="A39" i="6"/>
  <c r="A20" i="6"/>
  <c r="A21" i="6"/>
  <c r="A22" i="6"/>
  <c r="A23" i="6"/>
  <c r="A24" i="6"/>
  <c r="A25" i="6"/>
  <c r="A26" i="6"/>
  <c r="A27" i="6"/>
  <c r="A28" i="6"/>
  <c r="A29" i="6"/>
  <c r="A30" i="6"/>
  <c r="A31" i="6"/>
  <c r="A32" i="6"/>
  <c r="A33" i="6"/>
  <c r="A34" i="6"/>
  <c r="A35" i="6"/>
  <c r="A36" i="6"/>
  <c r="A37" i="6"/>
  <c r="A38" i="6"/>
  <c r="F23" i="14" l="1"/>
  <c r="G4" i="9"/>
  <c r="H4" i="9"/>
  <c r="J6" i="9"/>
  <c r="G5" i="9"/>
  <c r="J4" i="9"/>
  <c r="H5" i="9"/>
  <c r="G6" i="9"/>
  <c r="M4" i="9"/>
  <c r="J5" i="9"/>
  <c r="H6" i="9"/>
  <c r="K5" i="9"/>
  <c r="M5" i="9"/>
  <c r="K6" i="9"/>
  <c r="M6" i="9"/>
  <c r="R5" i="9"/>
  <c r="Q6" i="9"/>
  <c r="R6" i="9"/>
  <c r="R4" i="9"/>
  <c r="N6" i="9"/>
  <c r="Q4" i="9"/>
  <c r="N5" i="9"/>
  <c r="N4" i="9"/>
  <c r="Q5" i="9"/>
  <c r="W6" i="6"/>
  <c r="W7" i="6"/>
  <c r="W8" i="6"/>
  <c r="W9" i="6"/>
  <c r="F22" i="14"/>
  <c r="F28" i="14" l="1"/>
  <c r="F29" i="14"/>
  <c r="F27" i="14"/>
  <c r="F26" i="14"/>
  <c r="F25" i="14"/>
  <c r="F24" i="14"/>
  <c r="G53" i="1"/>
  <c r="U41" i="6"/>
  <c r="K379" i="12" l="1"/>
  <c r="T379" i="12" s="1"/>
  <c r="U379" i="12" s="1"/>
  <c r="K340" i="12"/>
  <c r="T340" i="12" s="1"/>
  <c r="U340" i="12" s="1"/>
  <c r="K341" i="12"/>
  <c r="T341" i="12" s="1"/>
  <c r="U341" i="12" s="1"/>
  <c r="K479" i="12"/>
  <c r="T479" i="12" s="1"/>
  <c r="U479" i="12" s="1"/>
  <c r="K466" i="12"/>
  <c r="T466" i="12" s="1"/>
  <c r="U466" i="12" s="1"/>
  <c r="K516" i="12"/>
  <c r="T516" i="12" s="1"/>
  <c r="U516" i="12" s="1"/>
  <c r="K481" i="12"/>
  <c r="T481" i="12" s="1"/>
  <c r="U481" i="12" s="1"/>
  <c r="AB14" i="12" s="1"/>
  <c r="W14" i="6"/>
  <c r="K364" i="12"/>
  <c r="T364" i="12" s="1"/>
  <c r="U364" i="12" s="1"/>
  <c r="K365" i="12"/>
  <c r="T365" i="12" s="1"/>
  <c r="U365" i="12" s="1"/>
  <c r="K504" i="12"/>
  <c r="K501" i="12"/>
  <c r="K433" i="12"/>
  <c r="K377" i="12"/>
  <c r="K358" i="12"/>
  <c r="K347" i="12"/>
  <c r="K503" i="12"/>
  <c r="B334" i="12"/>
  <c r="C334" i="12"/>
  <c r="D334" i="12"/>
  <c r="E334" i="12"/>
  <c r="F334" i="12"/>
  <c r="G334" i="12"/>
  <c r="H334" i="12"/>
  <c r="I334" i="12"/>
  <c r="J334" i="12"/>
  <c r="K334" i="12"/>
  <c r="B342" i="12"/>
  <c r="C342" i="12"/>
  <c r="D342" i="12"/>
  <c r="E342" i="12"/>
  <c r="F342" i="12"/>
  <c r="G342" i="12"/>
  <c r="H342" i="12"/>
  <c r="I342" i="12"/>
  <c r="J342" i="12"/>
  <c r="K342" i="12"/>
  <c r="B343" i="12"/>
  <c r="C343" i="12"/>
  <c r="D343" i="12"/>
  <c r="E343" i="12"/>
  <c r="F343" i="12"/>
  <c r="G343" i="12"/>
  <c r="H343" i="12"/>
  <c r="I343" i="12"/>
  <c r="J343" i="12"/>
  <c r="K343" i="12"/>
  <c r="B344" i="12"/>
  <c r="C344" i="12"/>
  <c r="D344" i="12"/>
  <c r="E344" i="12"/>
  <c r="F344" i="12"/>
  <c r="G344" i="12"/>
  <c r="H344" i="12"/>
  <c r="I344" i="12"/>
  <c r="J344" i="12"/>
  <c r="K344" i="12"/>
  <c r="B345" i="12"/>
  <c r="C345" i="12"/>
  <c r="D345" i="12"/>
  <c r="E345" i="12"/>
  <c r="F345" i="12"/>
  <c r="G345" i="12"/>
  <c r="H345" i="12"/>
  <c r="I345" i="12"/>
  <c r="J345" i="12"/>
  <c r="K345" i="12"/>
  <c r="B346" i="12"/>
  <c r="C346" i="12"/>
  <c r="D346" i="12"/>
  <c r="E346" i="12"/>
  <c r="F346" i="12"/>
  <c r="G346" i="12"/>
  <c r="H346" i="12"/>
  <c r="I346" i="12"/>
  <c r="J346" i="12"/>
  <c r="K346" i="12"/>
  <c r="B349" i="12"/>
  <c r="C349" i="12"/>
  <c r="D349" i="12"/>
  <c r="E349" i="12"/>
  <c r="F349" i="12"/>
  <c r="G349" i="12"/>
  <c r="H349" i="12"/>
  <c r="I349" i="12"/>
  <c r="J349" i="12"/>
  <c r="K349" i="12"/>
  <c r="B355" i="12"/>
  <c r="C355" i="12"/>
  <c r="D355" i="12"/>
  <c r="E355" i="12"/>
  <c r="F355" i="12"/>
  <c r="G355" i="12"/>
  <c r="H355" i="12"/>
  <c r="I355" i="12"/>
  <c r="J355" i="12"/>
  <c r="K355" i="12"/>
  <c r="B356" i="12"/>
  <c r="C356" i="12"/>
  <c r="D356" i="12"/>
  <c r="E356" i="12"/>
  <c r="F356" i="12"/>
  <c r="G356" i="12"/>
  <c r="H356" i="12"/>
  <c r="I356" i="12"/>
  <c r="J356" i="12"/>
  <c r="K356" i="12"/>
  <c r="B357" i="12"/>
  <c r="C357" i="12"/>
  <c r="D357" i="12"/>
  <c r="E357" i="12"/>
  <c r="F357" i="12"/>
  <c r="G357" i="12"/>
  <c r="H357" i="12"/>
  <c r="I357" i="12"/>
  <c r="J357" i="12"/>
  <c r="K357" i="12"/>
  <c r="B359" i="12"/>
  <c r="C359" i="12"/>
  <c r="D359" i="12"/>
  <c r="E359" i="12"/>
  <c r="F359" i="12"/>
  <c r="G359" i="12"/>
  <c r="H359" i="12"/>
  <c r="I359" i="12"/>
  <c r="J359" i="12"/>
  <c r="K359" i="12"/>
  <c r="B360" i="12"/>
  <c r="C360" i="12"/>
  <c r="D360" i="12"/>
  <c r="E360" i="12"/>
  <c r="F360" i="12"/>
  <c r="G360" i="12"/>
  <c r="H360" i="12"/>
  <c r="I360" i="12"/>
  <c r="J360" i="12"/>
  <c r="K360" i="12"/>
  <c r="B361" i="12"/>
  <c r="C361" i="12"/>
  <c r="D361" i="12"/>
  <c r="E361" i="12"/>
  <c r="F361" i="12"/>
  <c r="G361" i="12"/>
  <c r="H361" i="12"/>
  <c r="I361" i="12"/>
  <c r="J361" i="12"/>
  <c r="K361" i="12"/>
  <c r="B362" i="12"/>
  <c r="C362" i="12"/>
  <c r="D362" i="12"/>
  <c r="E362" i="12"/>
  <c r="F362" i="12"/>
  <c r="G362" i="12"/>
  <c r="H362" i="12"/>
  <c r="I362" i="12"/>
  <c r="J362" i="12"/>
  <c r="K362" i="12"/>
  <c r="B363" i="12"/>
  <c r="C363" i="12"/>
  <c r="D363" i="12"/>
  <c r="E363" i="12"/>
  <c r="F363" i="12"/>
  <c r="G363" i="12"/>
  <c r="H363" i="12"/>
  <c r="I363" i="12"/>
  <c r="J363" i="12"/>
  <c r="K363" i="12"/>
  <c r="B366" i="12"/>
  <c r="C366" i="12"/>
  <c r="D366" i="12"/>
  <c r="E366" i="12"/>
  <c r="F366" i="12"/>
  <c r="G366" i="12"/>
  <c r="H366" i="12"/>
  <c r="I366" i="12"/>
  <c r="J366" i="12"/>
  <c r="K366" i="12"/>
  <c r="B367" i="12"/>
  <c r="C367" i="12"/>
  <c r="D367" i="12"/>
  <c r="E367" i="12"/>
  <c r="F367" i="12"/>
  <c r="G367" i="12"/>
  <c r="H367" i="12"/>
  <c r="I367" i="12"/>
  <c r="J367" i="12"/>
  <c r="K367" i="12"/>
  <c r="B368" i="12"/>
  <c r="C368" i="12"/>
  <c r="D368" i="12"/>
  <c r="E368" i="12"/>
  <c r="F368" i="12"/>
  <c r="G368" i="12"/>
  <c r="H368" i="12"/>
  <c r="I368" i="12"/>
  <c r="J368" i="12"/>
  <c r="K368" i="12"/>
  <c r="B369" i="12"/>
  <c r="C369" i="12"/>
  <c r="D369" i="12"/>
  <c r="E369" i="12"/>
  <c r="F369" i="12"/>
  <c r="G369" i="12"/>
  <c r="H369" i="12"/>
  <c r="I369" i="12"/>
  <c r="J369" i="12"/>
  <c r="K369" i="12"/>
  <c r="B370" i="12"/>
  <c r="C370" i="12"/>
  <c r="D370" i="12"/>
  <c r="E370" i="12"/>
  <c r="F370" i="12"/>
  <c r="G370" i="12"/>
  <c r="H370" i="12"/>
  <c r="I370" i="12"/>
  <c r="J370" i="12"/>
  <c r="K370" i="12"/>
  <c r="B371" i="12"/>
  <c r="C371" i="12"/>
  <c r="D371" i="12"/>
  <c r="E371" i="12"/>
  <c r="F371" i="12"/>
  <c r="G371" i="12"/>
  <c r="H371" i="12"/>
  <c r="I371" i="12"/>
  <c r="J371" i="12"/>
  <c r="K371" i="12"/>
  <c r="B372" i="12"/>
  <c r="C372" i="12"/>
  <c r="D372" i="12"/>
  <c r="E372" i="12"/>
  <c r="F372" i="12"/>
  <c r="G372" i="12"/>
  <c r="H372" i="12"/>
  <c r="I372" i="12"/>
  <c r="J372" i="12"/>
  <c r="K372" i="12"/>
  <c r="B373" i="12"/>
  <c r="C373" i="12"/>
  <c r="D373" i="12"/>
  <c r="E373" i="12"/>
  <c r="F373" i="12"/>
  <c r="G373" i="12"/>
  <c r="H373" i="12"/>
  <c r="I373" i="12"/>
  <c r="J373" i="12"/>
  <c r="K373" i="12"/>
  <c r="B374" i="12"/>
  <c r="C374" i="12"/>
  <c r="D374" i="12"/>
  <c r="E374" i="12"/>
  <c r="F374" i="12"/>
  <c r="G374" i="12"/>
  <c r="H374" i="12"/>
  <c r="I374" i="12"/>
  <c r="J374" i="12"/>
  <c r="K374" i="12"/>
  <c r="B375" i="12"/>
  <c r="C375" i="12"/>
  <c r="D375" i="12"/>
  <c r="E375" i="12"/>
  <c r="F375" i="12"/>
  <c r="G375" i="12"/>
  <c r="H375" i="12"/>
  <c r="I375" i="12"/>
  <c r="J375" i="12"/>
  <c r="K375" i="12"/>
  <c r="B376" i="12"/>
  <c r="C376" i="12"/>
  <c r="D376" i="12"/>
  <c r="E376" i="12"/>
  <c r="F376" i="12"/>
  <c r="G376" i="12"/>
  <c r="H376" i="12"/>
  <c r="I376" i="12"/>
  <c r="J376" i="12"/>
  <c r="K376" i="12"/>
  <c r="B378" i="12"/>
  <c r="C378" i="12"/>
  <c r="D378" i="12"/>
  <c r="E378" i="12"/>
  <c r="F378" i="12"/>
  <c r="G378" i="12"/>
  <c r="H378" i="12"/>
  <c r="I378" i="12"/>
  <c r="J378" i="12"/>
  <c r="K378" i="12"/>
  <c r="B380" i="12"/>
  <c r="C380" i="12"/>
  <c r="D380" i="12"/>
  <c r="E380" i="12"/>
  <c r="F380" i="12"/>
  <c r="G380" i="12"/>
  <c r="H380" i="12"/>
  <c r="I380" i="12"/>
  <c r="J380" i="12"/>
  <c r="K380" i="12"/>
  <c r="B381" i="12"/>
  <c r="C381" i="12"/>
  <c r="D381" i="12"/>
  <c r="E381" i="12"/>
  <c r="F381" i="12"/>
  <c r="G381" i="12"/>
  <c r="H381" i="12"/>
  <c r="I381" i="12"/>
  <c r="J381" i="12"/>
  <c r="K381" i="12"/>
  <c r="B382" i="12"/>
  <c r="C382" i="12"/>
  <c r="D382" i="12"/>
  <c r="E382" i="12"/>
  <c r="F382" i="12"/>
  <c r="G382" i="12"/>
  <c r="H382" i="12"/>
  <c r="I382" i="12"/>
  <c r="J382" i="12"/>
  <c r="K382" i="12"/>
  <c r="B383" i="12"/>
  <c r="C383" i="12"/>
  <c r="D383" i="12"/>
  <c r="E383" i="12"/>
  <c r="F383" i="12"/>
  <c r="G383" i="12"/>
  <c r="H383" i="12"/>
  <c r="I383" i="12"/>
  <c r="J383" i="12"/>
  <c r="K383" i="12"/>
  <c r="B384" i="12"/>
  <c r="C384" i="12"/>
  <c r="D384" i="12"/>
  <c r="E384" i="12"/>
  <c r="F384" i="12"/>
  <c r="G384" i="12"/>
  <c r="H384" i="12"/>
  <c r="I384" i="12"/>
  <c r="J384" i="12"/>
  <c r="K384" i="12"/>
  <c r="B385" i="12"/>
  <c r="C385" i="12"/>
  <c r="D385" i="12"/>
  <c r="E385" i="12"/>
  <c r="F385" i="12"/>
  <c r="G385" i="12"/>
  <c r="H385" i="12"/>
  <c r="I385" i="12"/>
  <c r="J385" i="12"/>
  <c r="K385" i="12"/>
  <c r="B386" i="12"/>
  <c r="C386" i="12"/>
  <c r="D386" i="12"/>
  <c r="E386" i="12"/>
  <c r="F386" i="12"/>
  <c r="G386" i="12"/>
  <c r="H386" i="12"/>
  <c r="I386" i="12"/>
  <c r="J386" i="12"/>
  <c r="K386" i="12"/>
  <c r="B387" i="12"/>
  <c r="C387" i="12"/>
  <c r="D387" i="12"/>
  <c r="E387" i="12"/>
  <c r="F387" i="12"/>
  <c r="G387" i="12"/>
  <c r="H387" i="12"/>
  <c r="I387" i="12"/>
  <c r="J387" i="12"/>
  <c r="K387" i="12"/>
  <c r="B388" i="12"/>
  <c r="C388" i="12"/>
  <c r="D388" i="12"/>
  <c r="E388" i="12"/>
  <c r="F388" i="12"/>
  <c r="G388" i="12"/>
  <c r="H388" i="12"/>
  <c r="I388" i="12"/>
  <c r="J388" i="12"/>
  <c r="K388" i="12"/>
  <c r="B389" i="12"/>
  <c r="C389" i="12"/>
  <c r="D389" i="12"/>
  <c r="E389" i="12"/>
  <c r="F389" i="12"/>
  <c r="G389" i="12"/>
  <c r="H389" i="12"/>
  <c r="I389" i="12"/>
  <c r="J389" i="12"/>
  <c r="K389" i="12"/>
  <c r="B390" i="12"/>
  <c r="C390" i="12"/>
  <c r="D390" i="12"/>
  <c r="E390" i="12"/>
  <c r="F390" i="12"/>
  <c r="G390" i="12"/>
  <c r="H390" i="12"/>
  <c r="I390" i="12"/>
  <c r="J390" i="12"/>
  <c r="K390" i="12"/>
  <c r="B391" i="12"/>
  <c r="C391" i="12"/>
  <c r="D391" i="12"/>
  <c r="E391" i="12"/>
  <c r="F391" i="12"/>
  <c r="G391" i="12"/>
  <c r="H391" i="12"/>
  <c r="I391" i="12"/>
  <c r="J391" i="12"/>
  <c r="K391" i="12"/>
  <c r="B392" i="12"/>
  <c r="C392" i="12"/>
  <c r="D392" i="12"/>
  <c r="E392" i="12"/>
  <c r="F392" i="12"/>
  <c r="G392" i="12"/>
  <c r="H392" i="12"/>
  <c r="I392" i="12"/>
  <c r="J392" i="12"/>
  <c r="K392" i="12"/>
  <c r="B393" i="12"/>
  <c r="C393" i="12"/>
  <c r="D393" i="12"/>
  <c r="E393" i="12"/>
  <c r="F393" i="12"/>
  <c r="G393" i="12"/>
  <c r="H393" i="12"/>
  <c r="I393" i="12"/>
  <c r="J393" i="12"/>
  <c r="K393" i="12"/>
  <c r="B394" i="12"/>
  <c r="C394" i="12"/>
  <c r="D394" i="12"/>
  <c r="E394" i="12"/>
  <c r="F394" i="12"/>
  <c r="G394" i="12"/>
  <c r="H394" i="12"/>
  <c r="I394" i="12"/>
  <c r="J394" i="12"/>
  <c r="K394" i="12"/>
  <c r="B395" i="12"/>
  <c r="C395" i="12"/>
  <c r="D395" i="12"/>
  <c r="E395" i="12"/>
  <c r="F395" i="12"/>
  <c r="G395" i="12"/>
  <c r="H395" i="12"/>
  <c r="I395" i="12"/>
  <c r="J395" i="12"/>
  <c r="K395" i="12"/>
  <c r="B396" i="12"/>
  <c r="C396" i="12"/>
  <c r="D396" i="12"/>
  <c r="E396" i="12"/>
  <c r="F396" i="12"/>
  <c r="G396" i="12"/>
  <c r="H396" i="12"/>
  <c r="I396" i="12"/>
  <c r="J396" i="12"/>
  <c r="K396" i="12"/>
  <c r="B397" i="12"/>
  <c r="C397" i="12"/>
  <c r="D397" i="12"/>
  <c r="E397" i="12"/>
  <c r="F397" i="12"/>
  <c r="G397" i="12"/>
  <c r="H397" i="12"/>
  <c r="I397" i="12"/>
  <c r="J397" i="12"/>
  <c r="K397" i="12"/>
  <c r="B398" i="12"/>
  <c r="C398" i="12"/>
  <c r="D398" i="12"/>
  <c r="E398" i="12"/>
  <c r="F398" i="12"/>
  <c r="G398" i="12"/>
  <c r="H398" i="12"/>
  <c r="I398" i="12"/>
  <c r="J398" i="12"/>
  <c r="K398" i="12"/>
  <c r="B399" i="12"/>
  <c r="C399" i="12"/>
  <c r="D399" i="12"/>
  <c r="E399" i="12"/>
  <c r="F399" i="12"/>
  <c r="G399" i="12"/>
  <c r="H399" i="12"/>
  <c r="I399" i="12"/>
  <c r="J399" i="12"/>
  <c r="K399" i="12"/>
  <c r="B400" i="12"/>
  <c r="C400" i="12"/>
  <c r="D400" i="12"/>
  <c r="E400" i="12"/>
  <c r="F400" i="12"/>
  <c r="G400" i="12"/>
  <c r="H400" i="12"/>
  <c r="I400" i="12"/>
  <c r="J400" i="12"/>
  <c r="K400" i="12"/>
  <c r="B401" i="12"/>
  <c r="C401" i="12"/>
  <c r="D401" i="12"/>
  <c r="E401" i="12"/>
  <c r="F401" i="12"/>
  <c r="G401" i="12"/>
  <c r="H401" i="12"/>
  <c r="I401" i="12"/>
  <c r="J401" i="12"/>
  <c r="K401" i="12"/>
  <c r="B402" i="12"/>
  <c r="C402" i="12"/>
  <c r="D402" i="12"/>
  <c r="E402" i="12"/>
  <c r="F402" i="12"/>
  <c r="G402" i="12"/>
  <c r="H402" i="12"/>
  <c r="I402" i="12"/>
  <c r="J402" i="12"/>
  <c r="K402" i="12"/>
  <c r="B403" i="12"/>
  <c r="C403" i="12"/>
  <c r="D403" i="12"/>
  <c r="E403" i="12"/>
  <c r="F403" i="12"/>
  <c r="G403" i="12"/>
  <c r="H403" i="12"/>
  <c r="I403" i="12"/>
  <c r="J403" i="12"/>
  <c r="K403" i="12"/>
  <c r="B404" i="12"/>
  <c r="C404" i="12"/>
  <c r="D404" i="12"/>
  <c r="E404" i="12"/>
  <c r="F404" i="12"/>
  <c r="G404" i="12"/>
  <c r="H404" i="12"/>
  <c r="I404" i="12"/>
  <c r="J404" i="12"/>
  <c r="K404" i="12"/>
  <c r="B405" i="12"/>
  <c r="C405" i="12"/>
  <c r="D405" i="12"/>
  <c r="E405" i="12"/>
  <c r="F405" i="12"/>
  <c r="G405" i="12"/>
  <c r="H405" i="12"/>
  <c r="I405" i="12"/>
  <c r="J405" i="12"/>
  <c r="K405" i="12"/>
  <c r="B406" i="12"/>
  <c r="C406" i="12"/>
  <c r="D406" i="12"/>
  <c r="E406" i="12"/>
  <c r="F406" i="12"/>
  <c r="G406" i="12"/>
  <c r="H406" i="12"/>
  <c r="I406" i="12"/>
  <c r="J406" i="12"/>
  <c r="K406" i="12"/>
  <c r="B407" i="12"/>
  <c r="C407" i="12"/>
  <c r="D407" i="12"/>
  <c r="E407" i="12"/>
  <c r="F407" i="12"/>
  <c r="G407" i="12"/>
  <c r="H407" i="12"/>
  <c r="I407" i="12"/>
  <c r="J407" i="12"/>
  <c r="K407" i="12"/>
  <c r="B408" i="12"/>
  <c r="C408" i="12"/>
  <c r="D408" i="12"/>
  <c r="E408" i="12"/>
  <c r="F408" i="12"/>
  <c r="G408" i="12"/>
  <c r="H408" i="12"/>
  <c r="I408" i="12"/>
  <c r="J408" i="12"/>
  <c r="K408" i="12"/>
  <c r="B409" i="12"/>
  <c r="C409" i="12"/>
  <c r="D409" i="12"/>
  <c r="E409" i="12"/>
  <c r="F409" i="12"/>
  <c r="G409" i="12"/>
  <c r="H409" i="12"/>
  <c r="I409" i="12"/>
  <c r="J409" i="12"/>
  <c r="K409" i="12"/>
  <c r="B410" i="12"/>
  <c r="C410" i="12"/>
  <c r="D410" i="12"/>
  <c r="E410" i="12"/>
  <c r="F410" i="12"/>
  <c r="G410" i="12"/>
  <c r="H410" i="12"/>
  <c r="I410" i="12"/>
  <c r="J410" i="12"/>
  <c r="K410" i="12"/>
  <c r="B411" i="12"/>
  <c r="C411" i="12"/>
  <c r="D411" i="12"/>
  <c r="E411" i="12"/>
  <c r="F411" i="12"/>
  <c r="G411" i="12"/>
  <c r="H411" i="12"/>
  <c r="I411" i="12"/>
  <c r="J411" i="12"/>
  <c r="K411" i="12"/>
  <c r="B412" i="12"/>
  <c r="C412" i="12"/>
  <c r="D412" i="12"/>
  <c r="E412" i="12"/>
  <c r="F412" i="12"/>
  <c r="G412" i="12"/>
  <c r="H412" i="12"/>
  <c r="I412" i="12"/>
  <c r="J412" i="12"/>
  <c r="K412" i="12"/>
  <c r="B413" i="12"/>
  <c r="C413" i="12"/>
  <c r="D413" i="12"/>
  <c r="E413" i="12"/>
  <c r="F413" i="12"/>
  <c r="G413" i="12"/>
  <c r="H413" i="12"/>
  <c r="I413" i="12"/>
  <c r="J413" i="12"/>
  <c r="K413" i="12"/>
  <c r="B414" i="12"/>
  <c r="C414" i="12"/>
  <c r="D414" i="12"/>
  <c r="E414" i="12"/>
  <c r="F414" i="12"/>
  <c r="G414" i="12"/>
  <c r="H414" i="12"/>
  <c r="I414" i="12"/>
  <c r="J414" i="12"/>
  <c r="K414" i="12"/>
  <c r="B416" i="12"/>
  <c r="C416" i="12"/>
  <c r="D416" i="12"/>
  <c r="E416" i="12"/>
  <c r="F416" i="12"/>
  <c r="G416" i="12"/>
  <c r="H416" i="12"/>
  <c r="I416" i="12"/>
  <c r="J416" i="12"/>
  <c r="K416" i="12"/>
  <c r="B417" i="12"/>
  <c r="C417" i="12"/>
  <c r="D417" i="12"/>
  <c r="E417" i="12"/>
  <c r="F417" i="12"/>
  <c r="G417" i="12"/>
  <c r="H417" i="12"/>
  <c r="I417" i="12"/>
  <c r="J417" i="12"/>
  <c r="K417" i="12"/>
  <c r="B418" i="12"/>
  <c r="C418" i="12"/>
  <c r="D418" i="12"/>
  <c r="E418" i="12"/>
  <c r="F418" i="12"/>
  <c r="G418" i="12"/>
  <c r="H418" i="12"/>
  <c r="I418" i="12"/>
  <c r="J418" i="12"/>
  <c r="K418" i="12"/>
  <c r="B419" i="12"/>
  <c r="C419" i="12"/>
  <c r="D419" i="12"/>
  <c r="E419" i="12"/>
  <c r="F419" i="12"/>
  <c r="G419" i="12"/>
  <c r="H419" i="12"/>
  <c r="I419" i="12"/>
  <c r="J419" i="12"/>
  <c r="K419" i="12"/>
  <c r="B420" i="12"/>
  <c r="C420" i="12"/>
  <c r="D420" i="12"/>
  <c r="E420" i="12"/>
  <c r="F420" i="12"/>
  <c r="G420" i="12"/>
  <c r="H420" i="12"/>
  <c r="I420" i="12"/>
  <c r="J420" i="12"/>
  <c r="K420" i="12"/>
  <c r="B421" i="12"/>
  <c r="C421" i="12"/>
  <c r="D421" i="12"/>
  <c r="E421" i="12"/>
  <c r="F421" i="12"/>
  <c r="G421" i="12"/>
  <c r="H421" i="12"/>
  <c r="I421" i="12"/>
  <c r="J421" i="12"/>
  <c r="K421" i="12"/>
  <c r="B422" i="12"/>
  <c r="C422" i="12"/>
  <c r="D422" i="12"/>
  <c r="E422" i="12"/>
  <c r="F422" i="12"/>
  <c r="G422" i="12"/>
  <c r="H422" i="12"/>
  <c r="I422" i="12"/>
  <c r="J422" i="12"/>
  <c r="K422" i="12"/>
  <c r="B423" i="12"/>
  <c r="C423" i="12"/>
  <c r="D423" i="12"/>
  <c r="E423" i="12"/>
  <c r="F423" i="12"/>
  <c r="G423" i="12"/>
  <c r="H423" i="12"/>
  <c r="I423" i="12"/>
  <c r="J423" i="12"/>
  <c r="K423" i="12"/>
  <c r="B424" i="12"/>
  <c r="C424" i="12"/>
  <c r="D424" i="12"/>
  <c r="E424" i="12"/>
  <c r="F424" i="12"/>
  <c r="G424" i="12"/>
  <c r="H424" i="12"/>
  <c r="I424" i="12"/>
  <c r="J424" i="12"/>
  <c r="K424" i="12"/>
  <c r="B425" i="12"/>
  <c r="C425" i="12"/>
  <c r="D425" i="12"/>
  <c r="E425" i="12"/>
  <c r="F425" i="12"/>
  <c r="G425" i="12"/>
  <c r="H425" i="12"/>
  <c r="I425" i="12"/>
  <c r="J425" i="12"/>
  <c r="K425" i="12"/>
  <c r="B426" i="12"/>
  <c r="C426" i="12"/>
  <c r="D426" i="12"/>
  <c r="E426" i="12"/>
  <c r="F426" i="12"/>
  <c r="G426" i="12"/>
  <c r="H426" i="12"/>
  <c r="I426" i="12"/>
  <c r="J426" i="12"/>
  <c r="K426" i="12"/>
  <c r="B427" i="12"/>
  <c r="C427" i="12"/>
  <c r="D427" i="12"/>
  <c r="E427" i="12"/>
  <c r="F427" i="12"/>
  <c r="G427" i="12"/>
  <c r="H427" i="12"/>
  <c r="I427" i="12"/>
  <c r="J427" i="12"/>
  <c r="K427" i="12"/>
  <c r="B428" i="12"/>
  <c r="C428" i="12"/>
  <c r="D428" i="12"/>
  <c r="E428" i="12"/>
  <c r="F428" i="12"/>
  <c r="G428" i="12"/>
  <c r="H428" i="12"/>
  <c r="I428" i="12"/>
  <c r="J428" i="12"/>
  <c r="K428" i="12"/>
  <c r="B429" i="12"/>
  <c r="C429" i="12"/>
  <c r="D429" i="12"/>
  <c r="E429" i="12"/>
  <c r="F429" i="12"/>
  <c r="G429" i="12"/>
  <c r="H429" i="12"/>
  <c r="I429" i="12"/>
  <c r="J429" i="12"/>
  <c r="K429" i="12"/>
  <c r="B430" i="12"/>
  <c r="C430" i="12"/>
  <c r="D430" i="12"/>
  <c r="E430" i="12"/>
  <c r="F430" i="12"/>
  <c r="G430" i="12"/>
  <c r="H430" i="12"/>
  <c r="I430" i="12"/>
  <c r="J430" i="12"/>
  <c r="K430" i="12"/>
  <c r="B431" i="12"/>
  <c r="C431" i="12"/>
  <c r="D431" i="12"/>
  <c r="E431" i="12"/>
  <c r="F431" i="12"/>
  <c r="G431" i="12"/>
  <c r="H431" i="12"/>
  <c r="I431" i="12"/>
  <c r="J431" i="12"/>
  <c r="K431" i="12"/>
  <c r="B432" i="12"/>
  <c r="C432" i="12"/>
  <c r="D432" i="12"/>
  <c r="E432" i="12"/>
  <c r="F432" i="12"/>
  <c r="G432" i="12"/>
  <c r="H432" i="12"/>
  <c r="I432" i="12"/>
  <c r="J432" i="12"/>
  <c r="K432" i="12"/>
  <c r="B434" i="12"/>
  <c r="C434" i="12"/>
  <c r="D434" i="12"/>
  <c r="E434" i="12"/>
  <c r="F434" i="12"/>
  <c r="G434" i="12"/>
  <c r="H434" i="12"/>
  <c r="I434" i="12"/>
  <c r="J434" i="12"/>
  <c r="K434" i="12"/>
  <c r="B435" i="12"/>
  <c r="C435" i="12"/>
  <c r="D435" i="12"/>
  <c r="E435" i="12"/>
  <c r="F435" i="12"/>
  <c r="G435" i="12"/>
  <c r="H435" i="12"/>
  <c r="I435" i="12"/>
  <c r="J435" i="12"/>
  <c r="K435" i="12"/>
  <c r="B436" i="12"/>
  <c r="C436" i="12"/>
  <c r="D436" i="12"/>
  <c r="E436" i="12"/>
  <c r="F436" i="12"/>
  <c r="G436" i="12"/>
  <c r="H436" i="12"/>
  <c r="I436" i="12"/>
  <c r="J436" i="12"/>
  <c r="K436" i="12"/>
  <c r="B437" i="12"/>
  <c r="C437" i="12"/>
  <c r="D437" i="12"/>
  <c r="E437" i="12"/>
  <c r="F437" i="12"/>
  <c r="G437" i="12"/>
  <c r="H437" i="12"/>
  <c r="I437" i="12"/>
  <c r="J437" i="12"/>
  <c r="K437" i="12"/>
  <c r="B438" i="12"/>
  <c r="C438" i="12"/>
  <c r="D438" i="12"/>
  <c r="E438" i="12"/>
  <c r="F438" i="12"/>
  <c r="G438" i="12"/>
  <c r="H438" i="12"/>
  <c r="I438" i="12"/>
  <c r="J438" i="12"/>
  <c r="K438" i="12"/>
  <c r="B439" i="12"/>
  <c r="C439" i="12"/>
  <c r="D439" i="12"/>
  <c r="E439" i="12"/>
  <c r="F439" i="12"/>
  <c r="G439" i="12"/>
  <c r="H439" i="12"/>
  <c r="I439" i="12"/>
  <c r="J439" i="12"/>
  <c r="K439" i="12"/>
  <c r="B440" i="12"/>
  <c r="C440" i="12"/>
  <c r="D440" i="12"/>
  <c r="E440" i="12"/>
  <c r="F440" i="12"/>
  <c r="G440" i="12"/>
  <c r="H440" i="12"/>
  <c r="I440" i="12"/>
  <c r="J440" i="12"/>
  <c r="K440" i="12"/>
  <c r="B441" i="12"/>
  <c r="C441" i="12"/>
  <c r="D441" i="12"/>
  <c r="E441" i="12"/>
  <c r="F441" i="12"/>
  <c r="G441" i="12"/>
  <c r="H441" i="12"/>
  <c r="I441" i="12"/>
  <c r="J441" i="12"/>
  <c r="K441" i="12"/>
  <c r="B443" i="12"/>
  <c r="C443" i="12"/>
  <c r="D443" i="12"/>
  <c r="E443" i="12"/>
  <c r="F443" i="12"/>
  <c r="G443" i="12"/>
  <c r="H443" i="12"/>
  <c r="I443" i="12"/>
  <c r="J443" i="12"/>
  <c r="K443" i="12"/>
  <c r="B444" i="12"/>
  <c r="C444" i="12"/>
  <c r="D444" i="12"/>
  <c r="E444" i="12"/>
  <c r="F444" i="12"/>
  <c r="G444" i="12"/>
  <c r="H444" i="12"/>
  <c r="I444" i="12"/>
  <c r="J444" i="12"/>
  <c r="K444" i="12"/>
  <c r="B445" i="12"/>
  <c r="C445" i="12"/>
  <c r="D445" i="12"/>
  <c r="E445" i="12"/>
  <c r="F445" i="12"/>
  <c r="G445" i="12"/>
  <c r="H445" i="12"/>
  <c r="I445" i="12"/>
  <c r="J445" i="12"/>
  <c r="K445" i="12"/>
  <c r="B446" i="12"/>
  <c r="C446" i="12"/>
  <c r="D446" i="12"/>
  <c r="E446" i="12"/>
  <c r="F446" i="12"/>
  <c r="G446" i="12"/>
  <c r="H446" i="12"/>
  <c r="I446" i="12"/>
  <c r="J446" i="12"/>
  <c r="K446" i="12"/>
  <c r="B447" i="12"/>
  <c r="C447" i="12"/>
  <c r="D447" i="12"/>
  <c r="E447" i="12"/>
  <c r="F447" i="12"/>
  <c r="G447" i="12"/>
  <c r="H447" i="12"/>
  <c r="I447" i="12"/>
  <c r="J447" i="12"/>
  <c r="K447" i="12"/>
  <c r="B448" i="12"/>
  <c r="C448" i="12"/>
  <c r="D448" i="12"/>
  <c r="E448" i="12"/>
  <c r="F448" i="12"/>
  <c r="G448" i="12"/>
  <c r="H448" i="12"/>
  <c r="I448" i="12"/>
  <c r="J448" i="12"/>
  <c r="K448" i="12"/>
  <c r="B449" i="12"/>
  <c r="C449" i="12"/>
  <c r="D449" i="12"/>
  <c r="E449" i="12"/>
  <c r="F449" i="12"/>
  <c r="G449" i="12"/>
  <c r="H449" i="12"/>
  <c r="I449" i="12"/>
  <c r="J449" i="12"/>
  <c r="K449" i="12"/>
  <c r="B450" i="12"/>
  <c r="C450" i="12"/>
  <c r="D450" i="12"/>
  <c r="E450" i="12"/>
  <c r="F450" i="12"/>
  <c r="G450" i="12"/>
  <c r="H450" i="12"/>
  <c r="I450" i="12"/>
  <c r="J450" i="12"/>
  <c r="K450" i="12"/>
  <c r="B451" i="12"/>
  <c r="C451" i="12"/>
  <c r="D451" i="12"/>
  <c r="E451" i="12"/>
  <c r="F451" i="12"/>
  <c r="G451" i="12"/>
  <c r="H451" i="12"/>
  <c r="I451" i="12"/>
  <c r="J451" i="12"/>
  <c r="K451" i="12"/>
  <c r="B452" i="12"/>
  <c r="C452" i="12"/>
  <c r="D452" i="12"/>
  <c r="E452" i="12"/>
  <c r="F452" i="12"/>
  <c r="G452" i="12"/>
  <c r="H452" i="12"/>
  <c r="I452" i="12"/>
  <c r="J452" i="12"/>
  <c r="K452" i="12"/>
  <c r="B453" i="12"/>
  <c r="C453" i="12"/>
  <c r="D453" i="12"/>
  <c r="E453" i="12"/>
  <c r="F453" i="12"/>
  <c r="G453" i="12"/>
  <c r="H453" i="12"/>
  <c r="I453" i="12"/>
  <c r="J453" i="12"/>
  <c r="K453" i="12"/>
  <c r="B454" i="12"/>
  <c r="C454" i="12"/>
  <c r="D454" i="12"/>
  <c r="E454" i="12"/>
  <c r="F454" i="12"/>
  <c r="G454" i="12"/>
  <c r="H454" i="12"/>
  <c r="I454" i="12"/>
  <c r="J454" i="12"/>
  <c r="K454" i="12"/>
  <c r="B455" i="12"/>
  <c r="C455" i="12"/>
  <c r="D455" i="12"/>
  <c r="E455" i="12"/>
  <c r="F455" i="12"/>
  <c r="G455" i="12"/>
  <c r="H455" i="12"/>
  <c r="I455" i="12"/>
  <c r="J455" i="12"/>
  <c r="K455" i="12"/>
  <c r="B456" i="12"/>
  <c r="C456" i="12"/>
  <c r="D456" i="12"/>
  <c r="E456" i="12"/>
  <c r="F456" i="12"/>
  <c r="G456" i="12"/>
  <c r="H456" i="12"/>
  <c r="I456" i="12"/>
  <c r="J456" i="12"/>
  <c r="K456" i="12"/>
  <c r="B457" i="12"/>
  <c r="C457" i="12"/>
  <c r="D457" i="12"/>
  <c r="E457" i="12"/>
  <c r="F457" i="12"/>
  <c r="G457" i="12"/>
  <c r="H457" i="12"/>
  <c r="I457" i="12"/>
  <c r="J457" i="12"/>
  <c r="K457" i="12"/>
  <c r="B458" i="12"/>
  <c r="C458" i="12"/>
  <c r="D458" i="12"/>
  <c r="E458" i="12"/>
  <c r="F458" i="12"/>
  <c r="G458" i="12"/>
  <c r="H458" i="12"/>
  <c r="I458" i="12"/>
  <c r="J458" i="12"/>
  <c r="K458" i="12"/>
  <c r="B459" i="12"/>
  <c r="C459" i="12"/>
  <c r="D459" i="12"/>
  <c r="E459" i="12"/>
  <c r="F459" i="12"/>
  <c r="G459" i="12"/>
  <c r="H459" i="12"/>
  <c r="I459" i="12"/>
  <c r="J459" i="12"/>
  <c r="K459" i="12"/>
  <c r="B460" i="12"/>
  <c r="C460" i="12"/>
  <c r="D460" i="12"/>
  <c r="E460" i="12"/>
  <c r="F460" i="12"/>
  <c r="G460" i="12"/>
  <c r="H460" i="12"/>
  <c r="I460" i="12"/>
  <c r="J460" i="12"/>
  <c r="K460" i="12"/>
  <c r="B461" i="12"/>
  <c r="C461" i="12"/>
  <c r="D461" i="12"/>
  <c r="E461" i="12"/>
  <c r="F461" i="12"/>
  <c r="G461" i="12"/>
  <c r="H461" i="12"/>
  <c r="I461" i="12"/>
  <c r="J461" i="12"/>
  <c r="K461" i="12"/>
  <c r="B462" i="12"/>
  <c r="C462" i="12"/>
  <c r="D462" i="12"/>
  <c r="E462" i="12"/>
  <c r="F462" i="12"/>
  <c r="G462" i="12"/>
  <c r="H462" i="12"/>
  <c r="I462" i="12"/>
  <c r="J462" i="12"/>
  <c r="K462" i="12"/>
  <c r="B463" i="12"/>
  <c r="C463" i="12"/>
  <c r="D463" i="12"/>
  <c r="E463" i="12"/>
  <c r="F463" i="12"/>
  <c r="G463" i="12"/>
  <c r="H463" i="12"/>
  <c r="I463" i="12"/>
  <c r="J463" i="12"/>
  <c r="K463" i="12"/>
  <c r="B464" i="12"/>
  <c r="C464" i="12"/>
  <c r="D464" i="12"/>
  <c r="E464" i="12"/>
  <c r="F464" i="12"/>
  <c r="G464" i="12"/>
  <c r="H464" i="12"/>
  <c r="I464" i="12"/>
  <c r="J464" i="12"/>
  <c r="K464" i="12"/>
  <c r="B465" i="12"/>
  <c r="C465" i="12"/>
  <c r="D465" i="12"/>
  <c r="E465" i="12"/>
  <c r="F465" i="12"/>
  <c r="G465" i="12"/>
  <c r="H465" i="12"/>
  <c r="I465" i="12"/>
  <c r="J465" i="12"/>
  <c r="K465" i="12"/>
  <c r="B467" i="12"/>
  <c r="C467" i="12"/>
  <c r="D467" i="12"/>
  <c r="E467" i="12"/>
  <c r="F467" i="12"/>
  <c r="G467" i="12"/>
  <c r="H467" i="12"/>
  <c r="I467" i="12"/>
  <c r="J467" i="12"/>
  <c r="K467" i="12"/>
  <c r="B468" i="12"/>
  <c r="C468" i="12"/>
  <c r="D468" i="12"/>
  <c r="E468" i="12"/>
  <c r="F468" i="12"/>
  <c r="G468" i="12"/>
  <c r="H468" i="12"/>
  <c r="I468" i="12"/>
  <c r="J468" i="12"/>
  <c r="K468" i="12"/>
  <c r="B469" i="12"/>
  <c r="C469" i="12"/>
  <c r="D469" i="12"/>
  <c r="E469" i="12"/>
  <c r="F469" i="12"/>
  <c r="G469" i="12"/>
  <c r="H469" i="12"/>
  <c r="I469" i="12"/>
  <c r="J469" i="12"/>
  <c r="K469" i="12"/>
  <c r="B470" i="12"/>
  <c r="C470" i="12"/>
  <c r="D470" i="12"/>
  <c r="E470" i="12"/>
  <c r="F470" i="12"/>
  <c r="G470" i="12"/>
  <c r="H470" i="12"/>
  <c r="I470" i="12"/>
  <c r="J470" i="12"/>
  <c r="K470" i="12"/>
  <c r="B471" i="12"/>
  <c r="C471" i="12"/>
  <c r="D471" i="12"/>
  <c r="E471" i="12"/>
  <c r="F471" i="12"/>
  <c r="G471" i="12"/>
  <c r="H471" i="12"/>
  <c r="I471" i="12"/>
  <c r="J471" i="12"/>
  <c r="K471" i="12"/>
  <c r="B472" i="12"/>
  <c r="C472" i="12"/>
  <c r="D472" i="12"/>
  <c r="E472" i="12"/>
  <c r="F472" i="12"/>
  <c r="G472" i="12"/>
  <c r="H472" i="12"/>
  <c r="I472" i="12"/>
  <c r="J472" i="12"/>
  <c r="K472" i="12"/>
  <c r="B473" i="12"/>
  <c r="C473" i="12"/>
  <c r="D473" i="12"/>
  <c r="E473" i="12"/>
  <c r="F473" i="12"/>
  <c r="G473" i="12"/>
  <c r="H473" i="12"/>
  <c r="I473" i="12"/>
  <c r="J473" i="12"/>
  <c r="K473" i="12"/>
  <c r="B474" i="12"/>
  <c r="C474" i="12"/>
  <c r="D474" i="12"/>
  <c r="E474" i="12"/>
  <c r="F474" i="12"/>
  <c r="G474" i="12"/>
  <c r="H474" i="12"/>
  <c r="I474" i="12"/>
  <c r="J474" i="12"/>
  <c r="K474" i="12"/>
  <c r="B475" i="12"/>
  <c r="C475" i="12"/>
  <c r="D475" i="12"/>
  <c r="E475" i="12"/>
  <c r="F475" i="12"/>
  <c r="G475" i="12"/>
  <c r="H475" i="12"/>
  <c r="I475" i="12"/>
  <c r="J475" i="12"/>
  <c r="K475" i="12"/>
  <c r="B476" i="12"/>
  <c r="C476" i="12"/>
  <c r="D476" i="12"/>
  <c r="E476" i="12"/>
  <c r="F476" i="12"/>
  <c r="G476" i="12"/>
  <c r="H476" i="12"/>
  <c r="I476" i="12"/>
  <c r="J476" i="12"/>
  <c r="K476" i="12"/>
  <c r="B477" i="12"/>
  <c r="C477" i="12"/>
  <c r="D477" i="12"/>
  <c r="E477" i="12"/>
  <c r="F477" i="12"/>
  <c r="G477" i="12"/>
  <c r="H477" i="12"/>
  <c r="I477" i="12"/>
  <c r="J477" i="12"/>
  <c r="K477" i="12"/>
  <c r="B478" i="12"/>
  <c r="C478" i="12"/>
  <c r="D478" i="12"/>
  <c r="E478" i="12"/>
  <c r="F478" i="12"/>
  <c r="G478" i="12"/>
  <c r="H478" i="12"/>
  <c r="I478" i="12"/>
  <c r="J478" i="12"/>
  <c r="K478" i="12"/>
  <c r="B480" i="12"/>
  <c r="C480" i="12"/>
  <c r="D480" i="12"/>
  <c r="E480" i="12"/>
  <c r="F480" i="12"/>
  <c r="G480" i="12"/>
  <c r="H480" i="12"/>
  <c r="I480" i="12"/>
  <c r="J480" i="12"/>
  <c r="K480" i="12"/>
  <c r="B482" i="12"/>
  <c r="C482" i="12"/>
  <c r="D482" i="12"/>
  <c r="E482" i="12"/>
  <c r="F482" i="12"/>
  <c r="G482" i="12"/>
  <c r="H482" i="12"/>
  <c r="I482" i="12"/>
  <c r="J482" i="12"/>
  <c r="K482" i="12"/>
  <c r="B483" i="12"/>
  <c r="C483" i="12"/>
  <c r="D483" i="12"/>
  <c r="E483" i="12"/>
  <c r="F483" i="12"/>
  <c r="G483" i="12"/>
  <c r="H483" i="12"/>
  <c r="I483" i="12"/>
  <c r="J483" i="12"/>
  <c r="K483" i="12"/>
  <c r="B484" i="12"/>
  <c r="C484" i="12"/>
  <c r="D484" i="12"/>
  <c r="E484" i="12"/>
  <c r="F484" i="12"/>
  <c r="G484" i="12"/>
  <c r="H484" i="12"/>
  <c r="I484" i="12"/>
  <c r="J484" i="12"/>
  <c r="K484" i="12"/>
  <c r="B485" i="12"/>
  <c r="C485" i="12"/>
  <c r="D485" i="12"/>
  <c r="E485" i="12"/>
  <c r="F485" i="12"/>
  <c r="G485" i="12"/>
  <c r="H485" i="12"/>
  <c r="I485" i="12"/>
  <c r="J485" i="12"/>
  <c r="K485" i="12"/>
  <c r="B487" i="12"/>
  <c r="C487" i="12"/>
  <c r="D487" i="12"/>
  <c r="E487" i="12"/>
  <c r="F487" i="12"/>
  <c r="G487" i="12"/>
  <c r="H487" i="12"/>
  <c r="I487" i="12"/>
  <c r="J487" i="12"/>
  <c r="K487" i="12"/>
  <c r="B488" i="12"/>
  <c r="C488" i="12"/>
  <c r="D488" i="12"/>
  <c r="E488" i="12"/>
  <c r="F488" i="12"/>
  <c r="G488" i="12"/>
  <c r="H488" i="12"/>
  <c r="I488" i="12"/>
  <c r="J488" i="12"/>
  <c r="K488" i="12"/>
  <c r="B489" i="12"/>
  <c r="C489" i="12"/>
  <c r="D489" i="12"/>
  <c r="E489" i="12"/>
  <c r="F489" i="12"/>
  <c r="G489" i="12"/>
  <c r="H489" i="12"/>
  <c r="I489" i="12"/>
  <c r="J489" i="12"/>
  <c r="K489" i="12"/>
  <c r="B490" i="12"/>
  <c r="C490" i="12"/>
  <c r="D490" i="12"/>
  <c r="E490" i="12"/>
  <c r="F490" i="12"/>
  <c r="G490" i="12"/>
  <c r="H490" i="12"/>
  <c r="I490" i="12"/>
  <c r="J490" i="12"/>
  <c r="K490" i="12"/>
  <c r="B491" i="12"/>
  <c r="C491" i="12"/>
  <c r="D491" i="12"/>
  <c r="E491" i="12"/>
  <c r="F491" i="12"/>
  <c r="G491" i="12"/>
  <c r="H491" i="12"/>
  <c r="I491" i="12"/>
  <c r="J491" i="12"/>
  <c r="K491" i="12"/>
  <c r="B492" i="12"/>
  <c r="C492" i="12"/>
  <c r="D492" i="12"/>
  <c r="E492" i="12"/>
  <c r="F492" i="12"/>
  <c r="G492" i="12"/>
  <c r="H492" i="12"/>
  <c r="I492" i="12"/>
  <c r="J492" i="12"/>
  <c r="K492" i="12"/>
  <c r="B493" i="12"/>
  <c r="C493" i="12"/>
  <c r="D493" i="12"/>
  <c r="E493" i="12"/>
  <c r="F493" i="12"/>
  <c r="G493" i="12"/>
  <c r="H493" i="12"/>
  <c r="I493" i="12"/>
  <c r="J493" i="12"/>
  <c r="K493" i="12"/>
  <c r="B494" i="12"/>
  <c r="C494" i="12"/>
  <c r="D494" i="12"/>
  <c r="E494" i="12"/>
  <c r="F494" i="12"/>
  <c r="G494" i="12"/>
  <c r="H494" i="12"/>
  <c r="I494" i="12"/>
  <c r="J494" i="12"/>
  <c r="K494" i="12"/>
  <c r="B495" i="12"/>
  <c r="C495" i="12"/>
  <c r="D495" i="12"/>
  <c r="E495" i="12"/>
  <c r="F495" i="12"/>
  <c r="G495" i="12"/>
  <c r="H495" i="12"/>
  <c r="I495" i="12"/>
  <c r="J495" i="12"/>
  <c r="K495" i="12"/>
  <c r="B496" i="12"/>
  <c r="C496" i="12"/>
  <c r="D496" i="12"/>
  <c r="E496" i="12"/>
  <c r="F496" i="12"/>
  <c r="G496" i="12"/>
  <c r="H496" i="12"/>
  <c r="I496" i="12"/>
  <c r="J496" i="12"/>
  <c r="K496" i="12"/>
  <c r="B497" i="12"/>
  <c r="C497" i="12"/>
  <c r="D497" i="12"/>
  <c r="E497" i="12"/>
  <c r="F497" i="12"/>
  <c r="G497" i="12"/>
  <c r="H497" i="12"/>
  <c r="I497" i="12"/>
  <c r="J497" i="12"/>
  <c r="K497" i="12"/>
  <c r="B498" i="12"/>
  <c r="C498" i="12"/>
  <c r="D498" i="12"/>
  <c r="E498" i="12"/>
  <c r="F498" i="12"/>
  <c r="G498" i="12"/>
  <c r="H498" i="12"/>
  <c r="I498" i="12"/>
  <c r="J498" i="12"/>
  <c r="K498" i="12"/>
  <c r="B500" i="12"/>
  <c r="C500" i="12"/>
  <c r="D500" i="12"/>
  <c r="E500" i="12"/>
  <c r="F500" i="12"/>
  <c r="G500" i="12"/>
  <c r="H500" i="12"/>
  <c r="I500" i="12"/>
  <c r="J500" i="12"/>
  <c r="K500" i="12"/>
  <c r="B502" i="12"/>
  <c r="C502" i="12"/>
  <c r="D502" i="12"/>
  <c r="E502" i="12"/>
  <c r="F502" i="12"/>
  <c r="G502" i="12"/>
  <c r="H502" i="12"/>
  <c r="I502" i="12"/>
  <c r="J502" i="12"/>
  <c r="K502" i="12"/>
  <c r="B505" i="12"/>
  <c r="C505" i="12"/>
  <c r="D505" i="12"/>
  <c r="E505" i="12"/>
  <c r="F505" i="12"/>
  <c r="G505" i="12"/>
  <c r="H505" i="12"/>
  <c r="I505" i="12"/>
  <c r="J505" i="12"/>
  <c r="K505" i="12"/>
  <c r="B506" i="12"/>
  <c r="C506" i="12"/>
  <c r="D506" i="12"/>
  <c r="E506" i="12"/>
  <c r="F506" i="12"/>
  <c r="G506" i="12"/>
  <c r="H506" i="12"/>
  <c r="I506" i="12"/>
  <c r="J506" i="12"/>
  <c r="K506" i="12"/>
  <c r="B507" i="12"/>
  <c r="C507" i="12"/>
  <c r="D507" i="12"/>
  <c r="E507" i="12"/>
  <c r="F507" i="12"/>
  <c r="G507" i="12"/>
  <c r="H507" i="12"/>
  <c r="I507" i="12"/>
  <c r="J507" i="12"/>
  <c r="K507" i="12"/>
  <c r="B508" i="12"/>
  <c r="C508" i="12"/>
  <c r="D508" i="12"/>
  <c r="E508" i="12"/>
  <c r="F508" i="12"/>
  <c r="G508" i="12"/>
  <c r="H508" i="12"/>
  <c r="I508" i="12"/>
  <c r="J508" i="12"/>
  <c r="K508" i="12"/>
  <c r="B509" i="12"/>
  <c r="C509" i="12"/>
  <c r="D509" i="12"/>
  <c r="E509" i="12"/>
  <c r="F509" i="12"/>
  <c r="G509" i="12"/>
  <c r="H509" i="12"/>
  <c r="I509" i="12"/>
  <c r="J509" i="12"/>
  <c r="K509" i="12"/>
  <c r="B510" i="12"/>
  <c r="C510" i="12"/>
  <c r="D510" i="12"/>
  <c r="E510" i="12"/>
  <c r="F510" i="12"/>
  <c r="G510" i="12"/>
  <c r="H510" i="12"/>
  <c r="I510" i="12"/>
  <c r="J510" i="12"/>
  <c r="K510" i="12"/>
  <c r="B511" i="12"/>
  <c r="C511" i="12"/>
  <c r="D511" i="12"/>
  <c r="E511" i="12"/>
  <c r="F511" i="12"/>
  <c r="G511" i="12"/>
  <c r="H511" i="12"/>
  <c r="I511" i="12"/>
  <c r="J511" i="12"/>
  <c r="K511" i="12"/>
  <c r="B512" i="12"/>
  <c r="C512" i="12"/>
  <c r="D512" i="12"/>
  <c r="E512" i="12"/>
  <c r="F512" i="12"/>
  <c r="G512" i="12"/>
  <c r="H512" i="12"/>
  <c r="I512" i="12"/>
  <c r="J512" i="12"/>
  <c r="K512" i="12"/>
  <c r="B513" i="12"/>
  <c r="C513" i="12"/>
  <c r="D513" i="12"/>
  <c r="E513" i="12"/>
  <c r="F513" i="12"/>
  <c r="G513" i="12"/>
  <c r="H513" i="12"/>
  <c r="I513" i="12"/>
  <c r="J513" i="12"/>
  <c r="K513" i="12"/>
  <c r="B514" i="12"/>
  <c r="C514" i="12"/>
  <c r="D514" i="12"/>
  <c r="E514" i="12"/>
  <c r="F514" i="12"/>
  <c r="G514" i="12"/>
  <c r="H514" i="12"/>
  <c r="I514" i="12"/>
  <c r="J514" i="12"/>
  <c r="K514" i="12"/>
  <c r="B515" i="12"/>
  <c r="C515" i="12"/>
  <c r="D515" i="12"/>
  <c r="E515" i="12"/>
  <c r="F515" i="12"/>
  <c r="G515" i="12"/>
  <c r="H515" i="12"/>
  <c r="I515" i="12"/>
  <c r="J515" i="12"/>
  <c r="K515" i="12"/>
  <c r="B517" i="12"/>
  <c r="C517" i="12"/>
  <c r="D517" i="12"/>
  <c r="E517" i="12"/>
  <c r="F517" i="12"/>
  <c r="G517" i="12"/>
  <c r="H517" i="12"/>
  <c r="I517" i="12"/>
  <c r="J517" i="12"/>
  <c r="K517" i="12"/>
  <c r="B518" i="12"/>
  <c r="C518" i="12"/>
  <c r="D518" i="12"/>
  <c r="E518" i="12"/>
  <c r="F518" i="12"/>
  <c r="G518" i="12"/>
  <c r="H518" i="12"/>
  <c r="I518" i="12"/>
  <c r="J518" i="12"/>
  <c r="K518" i="12"/>
  <c r="B519" i="12"/>
  <c r="C519" i="12"/>
  <c r="D519" i="12"/>
  <c r="E519" i="12"/>
  <c r="F519" i="12"/>
  <c r="G519" i="12"/>
  <c r="H519" i="12"/>
  <c r="I519" i="12"/>
  <c r="J519" i="12"/>
  <c r="K519" i="12"/>
  <c r="B520" i="12"/>
  <c r="C520" i="12"/>
  <c r="D520" i="12"/>
  <c r="E520" i="12"/>
  <c r="F520" i="12"/>
  <c r="G520" i="12"/>
  <c r="H520" i="12"/>
  <c r="I520" i="12"/>
  <c r="J520" i="12"/>
  <c r="K520" i="12"/>
  <c r="B521" i="12"/>
  <c r="C521" i="12"/>
  <c r="D521" i="12"/>
  <c r="E521" i="12"/>
  <c r="F521" i="12"/>
  <c r="G521" i="12"/>
  <c r="H521" i="12"/>
  <c r="I521" i="12"/>
  <c r="J521" i="12"/>
  <c r="K521" i="12"/>
  <c r="B522" i="12"/>
  <c r="C522" i="12"/>
  <c r="D522" i="12"/>
  <c r="E522" i="12"/>
  <c r="F522" i="12"/>
  <c r="G522" i="12"/>
  <c r="H522" i="12"/>
  <c r="I522" i="12"/>
  <c r="J522" i="12"/>
  <c r="K522" i="12"/>
  <c r="B528" i="12"/>
  <c r="C528" i="12"/>
  <c r="D528" i="12"/>
  <c r="E528" i="12"/>
  <c r="F528" i="12"/>
  <c r="G528" i="12"/>
  <c r="H528" i="12"/>
  <c r="I528" i="12"/>
  <c r="J528" i="12"/>
  <c r="K528" i="12"/>
  <c r="B529" i="12"/>
  <c r="C529" i="12"/>
  <c r="D529" i="12"/>
  <c r="E529" i="12"/>
  <c r="F529" i="12"/>
  <c r="G529" i="12"/>
  <c r="H529" i="12"/>
  <c r="I529" i="12"/>
  <c r="J529" i="12"/>
  <c r="K529" i="12"/>
  <c r="B530" i="12"/>
  <c r="C530" i="12"/>
  <c r="D530" i="12"/>
  <c r="E530" i="12"/>
  <c r="F530" i="12"/>
  <c r="G530" i="12"/>
  <c r="H530" i="12"/>
  <c r="I530" i="12"/>
  <c r="J530" i="12"/>
  <c r="K530" i="12"/>
  <c r="B531" i="12"/>
  <c r="C531" i="12"/>
  <c r="D531" i="12"/>
  <c r="E531" i="12"/>
  <c r="F531" i="12"/>
  <c r="G531" i="12"/>
  <c r="H531" i="12"/>
  <c r="I531" i="12"/>
  <c r="J531" i="12"/>
  <c r="K531" i="12"/>
  <c r="B532" i="12"/>
  <c r="C532" i="12"/>
  <c r="D532" i="12"/>
  <c r="E532" i="12"/>
  <c r="F532" i="12"/>
  <c r="G532" i="12"/>
  <c r="H532" i="12"/>
  <c r="I532" i="12"/>
  <c r="J532" i="12"/>
  <c r="K532" i="12"/>
  <c r="C527" i="12"/>
  <c r="B526" i="12"/>
  <c r="C525" i="12"/>
  <c r="B524" i="12"/>
  <c r="C523" i="12"/>
  <c r="K333" i="12"/>
  <c r="J333" i="12"/>
  <c r="I333" i="12"/>
  <c r="H333" i="12"/>
  <c r="G333" i="12"/>
  <c r="F333" i="12"/>
  <c r="E333" i="12"/>
  <c r="D333" i="12"/>
  <c r="C333" i="12"/>
  <c r="B333" i="12"/>
  <c r="B3" i="12"/>
  <c r="C3" i="12"/>
  <c r="D3" i="12"/>
  <c r="E3" i="12"/>
  <c r="F3" i="12"/>
  <c r="G3" i="12"/>
  <c r="H3" i="12"/>
  <c r="I3" i="12"/>
  <c r="J3" i="12"/>
  <c r="K3" i="12"/>
  <c r="B4" i="12"/>
  <c r="C4" i="12"/>
  <c r="D4" i="12"/>
  <c r="E4" i="12"/>
  <c r="F4" i="12"/>
  <c r="G4" i="12"/>
  <c r="H4" i="12"/>
  <c r="I4" i="12"/>
  <c r="J4" i="12"/>
  <c r="K4" i="12"/>
  <c r="B5" i="12"/>
  <c r="C5" i="12"/>
  <c r="D5" i="12"/>
  <c r="E5" i="12"/>
  <c r="F5" i="12"/>
  <c r="G5" i="12"/>
  <c r="H5" i="12"/>
  <c r="I5" i="12"/>
  <c r="J5" i="12"/>
  <c r="K5" i="12"/>
  <c r="B6" i="12"/>
  <c r="C6" i="12"/>
  <c r="D6" i="12"/>
  <c r="E6" i="12"/>
  <c r="F6" i="12"/>
  <c r="G6" i="12"/>
  <c r="H6" i="12"/>
  <c r="I6" i="12"/>
  <c r="J6" i="12"/>
  <c r="K6" i="12"/>
  <c r="B11" i="12"/>
  <c r="C11" i="12"/>
  <c r="D11" i="12"/>
  <c r="E11" i="12"/>
  <c r="F11" i="12"/>
  <c r="G11" i="12"/>
  <c r="H11" i="12"/>
  <c r="I11" i="12"/>
  <c r="J11" i="12"/>
  <c r="K11" i="12"/>
  <c r="B12" i="12"/>
  <c r="C12" i="12"/>
  <c r="D12" i="12"/>
  <c r="E12" i="12"/>
  <c r="F12" i="12"/>
  <c r="G12" i="12"/>
  <c r="H12" i="12"/>
  <c r="I12" i="12"/>
  <c r="J12" i="12"/>
  <c r="K12" i="12"/>
  <c r="B13" i="12"/>
  <c r="C13" i="12"/>
  <c r="D13" i="12"/>
  <c r="E13" i="12"/>
  <c r="F13" i="12"/>
  <c r="G13" i="12"/>
  <c r="H13" i="12"/>
  <c r="I13" i="12"/>
  <c r="J13" i="12"/>
  <c r="K13" i="12"/>
  <c r="B14" i="12"/>
  <c r="C14" i="12"/>
  <c r="D14" i="12"/>
  <c r="E14" i="12"/>
  <c r="F14" i="12"/>
  <c r="G14" i="12"/>
  <c r="H14" i="12"/>
  <c r="I14" i="12"/>
  <c r="J14" i="12"/>
  <c r="K14" i="12"/>
  <c r="B15" i="12"/>
  <c r="C15" i="12"/>
  <c r="D15" i="12"/>
  <c r="E15" i="12"/>
  <c r="F15" i="12"/>
  <c r="G15" i="12"/>
  <c r="H15" i="12"/>
  <c r="I15" i="12"/>
  <c r="J15" i="12"/>
  <c r="K15" i="12"/>
  <c r="B16" i="12"/>
  <c r="C16" i="12"/>
  <c r="D16" i="12"/>
  <c r="E16" i="12"/>
  <c r="F16" i="12"/>
  <c r="G16" i="12"/>
  <c r="H16" i="12"/>
  <c r="I16" i="12"/>
  <c r="J16" i="12"/>
  <c r="K16" i="12"/>
  <c r="B28" i="12"/>
  <c r="C28" i="12"/>
  <c r="D28" i="12"/>
  <c r="E28" i="12"/>
  <c r="F28" i="12"/>
  <c r="G28" i="12"/>
  <c r="H28" i="12"/>
  <c r="I28" i="12"/>
  <c r="J28" i="12"/>
  <c r="K28" i="12"/>
  <c r="B29" i="12"/>
  <c r="C29" i="12"/>
  <c r="D29" i="12"/>
  <c r="E29" i="12"/>
  <c r="F29" i="12"/>
  <c r="G29" i="12"/>
  <c r="H29" i="12"/>
  <c r="I29" i="12"/>
  <c r="J29" i="12"/>
  <c r="K29" i="12"/>
  <c r="B33" i="12"/>
  <c r="C33" i="12"/>
  <c r="D33" i="12"/>
  <c r="E33" i="12"/>
  <c r="F33" i="12"/>
  <c r="G33" i="12"/>
  <c r="H33" i="12"/>
  <c r="I33" i="12"/>
  <c r="J33" i="12"/>
  <c r="K33" i="12"/>
  <c r="B39" i="12"/>
  <c r="C39" i="12"/>
  <c r="D39" i="12"/>
  <c r="E39" i="12"/>
  <c r="F39" i="12"/>
  <c r="G39" i="12"/>
  <c r="H39" i="12"/>
  <c r="I39" i="12"/>
  <c r="J39" i="12"/>
  <c r="K39" i="12"/>
  <c r="B40" i="12"/>
  <c r="C40" i="12"/>
  <c r="D40" i="12"/>
  <c r="E40" i="12"/>
  <c r="F40" i="12"/>
  <c r="G40" i="12"/>
  <c r="H40" i="12"/>
  <c r="I40" i="12"/>
  <c r="J40" i="12"/>
  <c r="K40" i="12"/>
  <c r="B41" i="12"/>
  <c r="C41" i="12"/>
  <c r="D41" i="12"/>
  <c r="E41" i="12"/>
  <c r="F41" i="12"/>
  <c r="G41" i="12"/>
  <c r="H41" i="12"/>
  <c r="I41" i="12"/>
  <c r="J41" i="12"/>
  <c r="K41" i="12"/>
  <c r="B42" i="12"/>
  <c r="C42" i="12"/>
  <c r="D42" i="12"/>
  <c r="E42" i="12"/>
  <c r="F42" i="12"/>
  <c r="G42" i="12"/>
  <c r="H42" i="12"/>
  <c r="I42" i="12"/>
  <c r="J42" i="12"/>
  <c r="K42" i="12"/>
  <c r="B43" i="12"/>
  <c r="C43" i="12"/>
  <c r="D43" i="12"/>
  <c r="E43" i="12"/>
  <c r="F43" i="12"/>
  <c r="G43" i="12"/>
  <c r="H43" i="12"/>
  <c r="I43" i="12"/>
  <c r="J43" i="12"/>
  <c r="K43" i="12"/>
  <c r="B48" i="12"/>
  <c r="C48" i="12"/>
  <c r="D48" i="12"/>
  <c r="E48" i="12"/>
  <c r="F48" i="12"/>
  <c r="G48" i="12"/>
  <c r="H48" i="12"/>
  <c r="I48" i="12"/>
  <c r="J48" i="12"/>
  <c r="K48" i="12"/>
  <c r="B50" i="12"/>
  <c r="C50" i="12"/>
  <c r="D50" i="12"/>
  <c r="E50" i="12"/>
  <c r="F50" i="12"/>
  <c r="G50" i="12"/>
  <c r="H50" i="12"/>
  <c r="I50" i="12"/>
  <c r="J50" i="12"/>
  <c r="K50" i="12"/>
  <c r="B64" i="12"/>
  <c r="C64" i="12"/>
  <c r="D64" i="12"/>
  <c r="E64" i="12"/>
  <c r="F64" i="12"/>
  <c r="G64" i="12"/>
  <c r="H64" i="12"/>
  <c r="I64" i="12"/>
  <c r="J64" i="12"/>
  <c r="K64" i="12"/>
  <c r="B66" i="12"/>
  <c r="C66" i="12"/>
  <c r="D66" i="12"/>
  <c r="E66" i="12"/>
  <c r="F66" i="12"/>
  <c r="G66" i="12"/>
  <c r="H66" i="12"/>
  <c r="I66" i="12"/>
  <c r="J66" i="12"/>
  <c r="K66" i="12"/>
  <c r="B67" i="12"/>
  <c r="C67" i="12"/>
  <c r="D67" i="12"/>
  <c r="E67" i="12"/>
  <c r="F67" i="12"/>
  <c r="G67" i="12"/>
  <c r="H67" i="12"/>
  <c r="I67" i="12"/>
  <c r="J67" i="12"/>
  <c r="K67" i="12"/>
  <c r="B68" i="12"/>
  <c r="C68" i="12"/>
  <c r="D68" i="12"/>
  <c r="E68" i="12"/>
  <c r="F68" i="12"/>
  <c r="G68" i="12"/>
  <c r="H68" i="12"/>
  <c r="I68" i="12"/>
  <c r="J68" i="12"/>
  <c r="K68" i="12"/>
  <c r="B69" i="12"/>
  <c r="C69" i="12"/>
  <c r="D69" i="12"/>
  <c r="E69" i="12"/>
  <c r="F69" i="12"/>
  <c r="G69" i="12"/>
  <c r="H69" i="12"/>
  <c r="I69" i="12"/>
  <c r="J69" i="12"/>
  <c r="K69" i="12"/>
  <c r="B70" i="12"/>
  <c r="C70" i="12"/>
  <c r="D70" i="12"/>
  <c r="E70" i="12"/>
  <c r="F70" i="12"/>
  <c r="G70" i="12"/>
  <c r="H70" i="12"/>
  <c r="I70" i="12"/>
  <c r="J70" i="12"/>
  <c r="K70" i="12"/>
  <c r="B72" i="12"/>
  <c r="C72" i="12"/>
  <c r="D72" i="12"/>
  <c r="E72" i="12"/>
  <c r="F72" i="12"/>
  <c r="G72" i="12"/>
  <c r="H72" i="12"/>
  <c r="I72" i="12"/>
  <c r="J72" i="12"/>
  <c r="K72" i="12"/>
  <c r="B80" i="12"/>
  <c r="C80" i="12"/>
  <c r="D80" i="12"/>
  <c r="E80" i="12"/>
  <c r="F80" i="12"/>
  <c r="G80" i="12"/>
  <c r="H80" i="12"/>
  <c r="I80" i="12"/>
  <c r="J80" i="12"/>
  <c r="K80" i="12"/>
  <c r="B84" i="12"/>
  <c r="C84" i="12"/>
  <c r="D84" i="12"/>
  <c r="E84" i="12"/>
  <c r="F84" i="12"/>
  <c r="G84" i="12"/>
  <c r="H84" i="12"/>
  <c r="I84" i="12"/>
  <c r="J84" i="12"/>
  <c r="K84" i="12"/>
  <c r="B85" i="12"/>
  <c r="C85" i="12"/>
  <c r="D85" i="12"/>
  <c r="E85" i="12"/>
  <c r="F85" i="12"/>
  <c r="G85" i="12"/>
  <c r="H85" i="12"/>
  <c r="I85" i="12"/>
  <c r="J85" i="12"/>
  <c r="K85" i="12"/>
  <c r="B86" i="12"/>
  <c r="C86" i="12"/>
  <c r="D86" i="12"/>
  <c r="E86" i="12"/>
  <c r="F86" i="12"/>
  <c r="G86" i="12"/>
  <c r="H86" i="12"/>
  <c r="I86" i="12"/>
  <c r="J86" i="12"/>
  <c r="K86" i="12"/>
  <c r="B87" i="12"/>
  <c r="C87" i="12"/>
  <c r="D87" i="12"/>
  <c r="E87" i="12"/>
  <c r="F87" i="12"/>
  <c r="G87" i="12"/>
  <c r="H87" i="12"/>
  <c r="I87" i="12"/>
  <c r="J87" i="12"/>
  <c r="K87" i="12"/>
  <c r="B95" i="12"/>
  <c r="C95" i="12"/>
  <c r="D95" i="12"/>
  <c r="E95" i="12"/>
  <c r="F95" i="12"/>
  <c r="G95" i="12"/>
  <c r="H95" i="12"/>
  <c r="I95" i="12"/>
  <c r="J95" i="12"/>
  <c r="K95" i="12"/>
  <c r="B96" i="12"/>
  <c r="C96" i="12"/>
  <c r="D96" i="12"/>
  <c r="E96" i="12"/>
  <c r="F96" i="12"/>
  <c r="G96" i="12"/>
  <c r="H96" i="12"/>
  <c r="I96" i="12"/>
  <c r="J96" i="12"/>
  <c r="K96" i="12"/>
  <c r="B100" i="12"/>
  <c r="C100" i="12"/>
  <c r="D100" i="12"/>
  <c r="E100" i="12"/>
  <c r="F100" i="12"/>
  <c r="G100" i="12"/>
  <c r="H100" i="12"/>
  <c r="I100" i="12"/>
  <c r="J100" i="12"/>
  <c r="K100" i="12"/>
  <c r="B101" i="12"/>
  <c r="C101" i="12"/>
  <c r="D101" i="12"/>
  <c r="E101" i="12"/>
  <c r="F101" i="12"/>
  <c r="G101" i="12"/>
  <c r="H101" i="12"/>
  <c r="I101" i="12"/>
  <c r="J101" i="12"/>
  <c r="K101" i="12"/>
  <c r="B102" i="12"/>
  <c r="C102" i="12"/>
  <c r="D102" i="12"/>
  <c r="E102" i="12"/>
  <c r="F102" i="12"/>
  <c r="G102" i="12"/>
  <c r="H102" i="12"/>
  <c r="I102" i="12"/>
  <c r="J102" i="12"/>
  <c r="K102" i="12"/>
  <c r="B104" i="12"/>
  <c r="C104" i="12"/>
  <c r="D104" i="12"/>
  <c r="E104" i="12"/>
  <c r="F104" i="12"/>
  <c r="G104" i="12"/>
  <c r="H104" i="12"/>
  <c r="I104" i="12"/>
  <c r="J104" i="12"/>
  <c r="K104" i="12"/>
  <c r="B105" i="12"/>
  <c r="C105" i="12"/>
  <c r="D105" i="12"/>
  <c r="E105" i="12"/>
  <c r="F105" i="12"/>
  <c r="G105" i="12"/>
  <c r="H105" i="12"/>
  <c r="I105" i="12"/>
  <c r="J105" i="12"/>
  <c r="K105" i="12"/>
  <c r="B109" i="12"/>
  <c r="C109" i="12"/>
  <c r="D109" i="12"/>
  <c r="E109" i="12"/>
  <c r="F109" i="12"/>
  <c r="G109" i="12"/>
  <c r="H109" i="12"/>
  <c r="I109" i="12"/>
  <c r="J109" i="12"/>
  <c r="K109" i="12"/>
  <c r="B110" i="12"/>
  <c r="C110" i="12"/>
  <c r="D110" i="12"/>
  <c r="E110" i="12"/>
  <c r="F110" i="12"/>
  <c r="G110" i="12"/>
  <c r="H110" i="12"/>
  <c r="I110" i="12"/>
  <c r="J110" i="12"/>
  <c r="K110" i="12"/>
  <c r="B111" i="12"/>
  <c r="C111" i="12"/>
  <c r="D111" i="12"/>
  <c r="E111" i="12"/>
  <c r="F111" i="12"/>
  <c r="G111" i="12"/>
  <c r="H111" i="12"/>
  <c r="I111" i="12"/>
  <c r="J111" i="12"/>
  <c r="K111" i="12"/>
  <c r="B112" i="12"/>
  <c r="C112" i="12"/>
  <c r="D112" i="12"/>
  <c r="E112" i="12"/>
  <c r="F112" i="12"/>
  <c r="G112" i="12"/>
  <c r="H112" i="12"/>
  <c r="I112" i="12"/>
  <c r="J112" i="12"/>
  <c r="K112" i="12"/>
  <c r="B113" i="12"/>
  <c r="C113" i="12"/>
  <c r="D113" i="12"/>
  <c r="E113" i="12"/>
  <c r="F113" i="12"/>
  <c r="G113" i="12"/>
  <c r="H113" i="12"/>
  <c r="I113" i="12"/>
  <c r="J113" i="12"/>
  <c r="K113" i="12"/>
  <c r="B117" i="12"/>
  <c r="C117" i="12"/>
  <c r="D117" i="12"/>
  <c r="E117" i="12"/>
  <c r="F117" i="12"/>
  <c r="G117" i="12"/>
  <c r="H117" i="12"/>
  <c r="I117" i="12"/>
  <c r="J117" i="12"/>
  <c r="K117" i="12"/>
  <c r="B118" i="12"/>
  <c r="C118" i="12"/>
  <c r="D118" i="12"/>
  <c r="E118" i="12"/>
  <c r="F118" i="12"/>
  <c r="G118" i="12"/>
  <c r="H118" i="12"/>
  <c r="I118" i="12"/>
  <c r="J118" i="12"/>
  <c r="K118" i="12"/>
  <c r="B119" i="12"/>
  <c r="C119" i="12"/>
  <c r="D119" i="12"/>
  <c r="E119" i="12"/>
  <c r="F119" i="12"/>
  <c r="G119" i="12"/>
  <c r="H119" i="12"/>
  <c r="I119" i="12"/>
  <c r="J119" i="12"/>
  <c r="K119" i="12"/>
  <c r="B122" i="12"/>
  <c r="C122" i="12"/>
  <c r="D122" i="12"/>
  <c r="E122" i="12"/>
  <c r="F122" i="12"/>
  <c r="G122" i="12"/>
  <c r="H122" i="12"/>
  <c r="I122" i="12"/>
  <c r="J122" i="12"/>
  <c r="K122" i="12"/>
  <c r="B127" i="12"/>
  <c r="C127" i="12"/>
  <c r="D127" i="12"/>
  <c r="E127" i="12"/>
  <c r="F127" i="12"/>
  <c r="G127" i="12"/>
  <c r="H127" i="12"/>
  <c r="I127" i="12"/>
  <c r="J127" i="12"/>
  <c r="K127" i="12"/>
  <c r="B128" i="12"/>
  <c r="C128" i="12"/>
  <c r="D128" i="12"/>
  <c r="E128" i="12"/>
  <c r="F128" i="12"/>
  <c r="G128" i="12"/>
  <c r="H128" i="12"/>
  <c r="I128" i="12"/>
  <c r="J128" i="12"/>
  <c r="K128" i="12"/>
  <c r="B129" i="12"/>
  <c r="C129" i="12"/>
  <c r="D129" i="12"/>
  <c r="E129" i="12"/>
  <c r="F129" i="12"/>
  <c r="G129" i="12"/>
  <c r="H129" i="12"/>
  <c r="I129" i="12"/>
  <c r="J129" i="12"/>
  <c r="K129" i="12"/>
  <c r="B130" i="12"/>
  <c r="C130" i="12"/>
  <c r="D130" i="12"/>
  <c r="E130" i="12"/>
  <c r="F130" i="12"/>
  <c r="G130" i="12"/>
  <c r="H130" i="12"/>
  <c r="I130" i="12"/>
  <c r="J130" i="12"/>
  <c r="K130" i="12"/>
  <c r="B131" i="12"/>
  <c r="C131" i="12"/>
  <c r="D131" i="12"/>
  <c r="E131" i="12"/>
  <c r="F131" i="12"/>
  <c r="G131" i="12"/>
  <c r="H131" i="12"/>
  <c r="I131" i="12"/>
  <c r="J131" i="12"/>
  <c r="K131" i="12"/>
  <c r="B132" i="12"/>
  <c r="C132" i="12"/>
  <c r="D132" i="12"/>
  <c r="E132" i="12"/>
  <c r="F132" i="12"/>
  <c r="G132" i="12"/>
  <c r="H132" i="12"/>
  <c r="I132" i="12"/>
  <c r="J132" i="12"/>
  <c r="K132" i="12"/>
  <c r="B136" i="12"/>
  <c r="C136" i="12"/>
  <c r="D136" i="12"/>
  <c r="E136" i="12"/>
  <c r="F136" i="12"/>
  <c r="G136" i="12"/>
  <c r="H136" i="12"/>
  <c r="I136" i="12"/>
  <c r="J136" i="12"/>
  <c r="K136" i="12"/>
  <c r="B137" i="12"/>
  <c r="C137" i="12"/>
  <c r="D137" i="12"/>
  <c r="E137" i="12"/>
  <c r="F137" i="12"/>
  <c r="G137" i="12"/>
  <c r="H137" i="12"/>
  <c r="I137" i="12"/>
  <c r="J137" i="12"/>
  <c r="K137" i="12"/>
  <c r="B142" i="12"/>
  <c r="C142" i="12"/>
  <c r="D142" i="12"/>
  <c r="E142" i="12"/>
  <c r="F142" i="12"/>
  <c r="G142" i="12"/>
  <c r="H142" i="12"/>
  <c r="I142" i="12"/>
  <c r="J142" i="12"/>
  <c r="K142" i="12"/>
  <c r="B143" i="12"/>
  <c r="C143" i="12"/>
  <c r="D143" i="12"/>
  <c r="E143" i="12"/>
  <c r="F143" i="12"/>
  <c r="G143" i="12"/>
  <c r="H143" i="12"/>
  <c r="I143" i="12"/>
  <c r="J143" i="12"/>
  <c r="K143" i="12"/>
  <c r="B144" i="12"/>
  <c r="C144" i="12"/>
  <c r="D144" i="12"/>
  <c r="E144" i="12"/>
  <c r="F144" i="12"/>
  <c r="G144" i="12"/>
  <c r="H144" i="12"/>
  <c r="I144" i="12"/>
  <c r="J144" i="12"/>
  <c r="K144" i="12"/>
  <c r="B159" i="12"/>
  <c r="C159" i="12"/>
  <c r="D159" i="12"/>
  <c r="E159" i="12"/>
  <c r="F159" i="12"/>
  <c r="G159" i="12"/>
  <c r="H159" i="12"/>
  <c r="I159" i="12"/>
  <c r="J159" i="12"/>
  <c r="K159" i="12"/>
  <c r="B161" i="12"/>
  <c r="C161" i="12"/>
  <c r="D161" i="12"/>
  <c r="E161" i="12"/>
  <c r="F161" i="12"/>
  <c r="G161" i="12"/>
  <c r="H161" i="12"/>
  <c r="I161" i="12"/>
  <c r="J161" i="12"/>
  <c r="K161" i="12"/>
  <c r="B163" i="12"/>
  <c r="C163" i="12"/>
  <c r="D163" i="12"/>
  <c r="E163" i="12"/>
  <c r="F163" i="12"/>
  <c r="G163" i="12"/>
  <c r="H163" i="12"/>
  <c r="I163" i="12"/>
  <c r="J163" i="12"/>
  <c r="K163" i="12"/>
  <c r="B164" i="12"/>
  <c r="C164" i="12"/>
  <c r="D164" i="12"/>
  <c r="E164" i="12"/>
  <c r="F164" i="12"/>
  <c r="G164" i="12"/>
  <c r="H164" i="12"/>
  <c r="I164" i="12"/>
  <c r="J164" i="12"/>
  <c r="K164" i="12"/>
  <c r="B165" i="12"/>
  <c r="C165" i="12"/>
  <c r="D165" i="12"/>
  <c r="E165" i="12"/>
  <c r="F165" i="12"/>
  <c r="G165" i="12"/>
  <c r="H165" i="12"/>
  <c r="I165" i="12"/>
  <c r="J165" i="12"/>
  <c r="K165" i="12"/>
  <c r="B166" i="12"/>
  <c r="C166" i="12"/>
  <c r="D166" i="12"/>
  <c r="E166" i="12"/>
  <c r="F166" i="12"/>
  <c r="G166" i="12"/>
  <c r="H166" i="12"/>
  <c r="I166" i="12"/>
  <c r="J166" i="12"/>
  <c r="K166" i="12"/>
  <c r="B167" i="12"/>
  <c r="C167" i="12"/>
  <c r="D167" i="12"/>
  <c r="E167" i="12"/>
  <c r="F167" i="12"/>
  <c r="G167" i="12"/>
  <c r="H167" i="12"/>
  <c r="I167" i="12"/>
  <c r="J167" i="12"/>
  <c r="K167" i="12"/>
  <c r="B173" i="12"/>
  <c r="C173" i="12"/>
  <c r="D173" i="12"/>
  <c r="E173" i="12"/>
  <c r="F173" i="12"/>
  <c r="G173" i="12"/>
  <c r="H173" i="12"/>
  <c r="I173" i="12"/>
  <c r="J173" i="12"/>
  <c r="K173" i="12"/>
  <c r="B174" i="12"/>
  <c r="C174" i="12"/>
  <c r="D174" i="12"/>
  <c r="E174" i="12"/>
  <c r="F174" i="12"/>
  <c r="G174" i="12"/>
  <c r="H174" i="12"/>
  <c r="I174" i="12"/>
  <c r="J174" i="12"/>
  <c r="K174" i="12"/>
  <c r="B175" i="12"/>
  <c r="C175" i="12"/>
  <c r="D175" i="12"/>
  <c r="E175" i="12"/>
  <c r="F175" i="12"/>
  <c r="G175" i="12"/>
  <c r="H175" i="12"/>
  <c r="I175" i="12"/>
  <c r="J175" i="12"/>
  <c r="K175" i="12"/>
  <c r="B176" i="12"/>
  <c r="C176" i="12"/>
  <c r="D176" i="12"/>
  <c r="E176" i="12"/>
  <c r="F176" i="12"/>
  <c r="G176" i="12"/>
  <c r="H176" i="12"/>
  <c r="I176" i="12"/>
  <c r="J176" i="12"/>
  <c r="K176" i="12"/>
  <c r="B178" i="12"/>
  <c r="C178" i="12"/>
  <c r="D178" i="12"/>
  <c r="E178" i="12"/>
  <c r="F178" i="12"/>
  <c r="G178" i="12"/>
  <c r="H178" i="12"/>
  <c r="I178" i="12"/>
  <c r="J178" i="12"/>
  <c r="K178" i="12"/>
  <c r="B179" i="12"/>
  <c r="C179" i="12"/>
  <c r="D179" i="12"/>
  <c r="E179" i="12"/>
  <c r="F179" i="12"/>
  <c r="G179" i="12"/>
  <c r="H179" i="12"/>
  <c r="I179" i="12"/>
  <c r="J179" i="12"/>
  <c r="K179" i="12"/>
  <c r="B184" i="12"/>
  <c r="C184" i="12"/>
  <c r="D184" i="12"/>
  <c r="E184" i="12"/>
  <c r="F184" i="12"/>
  <c r="G184" i="12"/>
  <c r="H184" i="12"/>
  <c r="I184" i="12"/>
  <c r="J184" i="12"/>
  <c r="K184" i="12"/>
  <c r="B188" i="12"/>
  <c r="C188" i="12"/>
  <c r="D188" i="12"/>
  <c r="E188" i="12"/>
  <c r="F188" i="12"/>
  <c r="G188" i="12"/>
  <c r="H188" i="12"/>
  <c r="I188" i="12"/>
  <c r="J188" i="12"/>
  <c r="K188" i="12"/>
  <c r="B189" i="12"/>
  <c r="C189" i="12"/>
  <c r="D189" i="12"/>
  <c r="E189" i="12"/>
  <c r="F189" i="12"/>
  <c r="G189" i="12"/>
  <c r="H189" i="12"/>
  <c r="I189" i="12"/>
  <c r="J189" i="12"/>
  <c r="K189" i="12"/>
  <c r="B210" i="12"/>
  <c r="C210" i="12"/>
  <c r="D210" i="12"/>
  <c r="E210" i="12"/>
  <c r="F210" i="12"/>
  <c r="G210" i="12"/>
  <c r="H210" i="12"/>
  <c r="I210" i="12"/>
  <c r="J210" i="12"/>
  <c r="K210" i="12"/>
  <c r="B211" i="12"/>
  <c r="C211" i="12"/>
  <c r="D211" i="12"/>
  <c r="E211" i="12"/>
  <c r="F211" i="12"/>
  <c r="G211" i="12"/>
  <c r="H211" i="12"/>
  <c r="I211" i="12"/>
  <c r="J211" i="12"/>
  <c r="K211" i="12"/>
  <c r="B212" i="12"/>
  <c r="C212" i="12"/>
  <c r="D212" i="12"/>
  <c r="E212" i="12"/>
  <c r="F212" i="12"/>
  <c r="G212" i="12"/>
  <c r="H212" i="12"/>
  <c r="I212" i="12"/>
  <c r="J212" i="12"/>
  <c r="K212" i="12"/>
  <c r="B231" i="12"/>
  <c r="C231" i="12"/>
  <c r="D231" i="12"/>
  <c r="E231" i="12"/>
  <c r="F231" i="12"/>
  <c r="G231" i="12"/>
  <c r="H231" i="12"/>
  <c r="I231" i="12"/>
  <c r="J231" i="12"/>
  <c r="K231" i="12"/>
  <c r="B232" i="12"/>
  <c r="C232" i="12"/>
  <c r="D232" i="12"/>
  <c r="E232" i="12"/>
  <c r="F232" i="12"/>
  <c r="G232" i="12"/>
  <c r="H232" i="12"/>
  <c r="I232" i="12"/>
  <c r="J232" i="12"/>
  <c r="K232" i="12"/>
  <c r="B233" i="12"/>
  <c r="C233" i="12"/>
  <c r="D233" i="12"/>
  <c r="E233" i="12"/>
  <c r="F233" i="12"/>
  <c r="G233" i="12"/>
  <c r="H233" i="12"/>
  <c r="I233" i="12"/>
  <c r="J233" i="12"/>
  <c r="K233" i="12"/>
  <c r="B234" i="12"/>
  <c r="C234" i="12"/>
  <c r="D234" i="12"/>
  <c r="E234" i="12"/>
  <c r="F234" i="12"/>
  <c r="G234" i="12"/>
  <c r="H234" i="12"/>
  <c r="I234" i="12"/>
  <c r="J234" i="12"/>
  <c r="K234" i="12"/>
  <c r="B235" i="12"/>
  <c r="C235" i="12"/>
  <c r="D235" i="12"/>
  <c r="E235" i="12"/>
  <c r="F235" i="12"/>
  <c r="G235" i="12"/>
  <c r="H235" i="12"/>
  <c r="I235" i="12"/>
  <c r="J235" i="12"/>
  <c r="K235" i="12"/>
  <c r="B236" i="12"/>
  <c r="C236" i="12"/>
  <c r="D236" i="12"/>
  <c r="E236" i="12"/>
  <c r="F236" i="12"/>
  <c r="G236" i="12"/>
  <c r="H236" i="12"/>
  <c r="I236" i="12"/>
  <c r="J236" i="12"/>
  <c r="K236" i="12"/>
  <c r="B237" i="12"/>
  <c r="C237" i="12"/>
  <c r="D237" i="12"/>
  <c r="E237" i="12"/>
  <c r="F237" i="12"/>
  <c r="G237" i="12"/>
  <c r="H237" i="12"/>
  <c r="I237" i="12"/>
  <c r="J237" i="12"/>
  <c r="K237" i="12"/>
  <c r="B238" i="12"/>
  <c r="C238" i="12"/>
  <c r="D238" i="12"/>
  <c r="E238" i="12"/>
  <c r="F238" i="12"/>
  <c r="G238" i="12"/>
  <c r="H238" i="12"/>
  <c r="I238" i="12"/>
  <c r="J238" i="12"/>
  <c r="K238" i="12"/>
  <c r="B108" i="12"/>
  <c r="C108" i="12"/>
  <c r="D108" i="12"/>
  <c r="E108" i="12"/>
  <c r="F108" i="12"/>
  <c r="G108" i="12"/>
  <c r="H108" i="12"/>
  <c r="I108" i="12"/>
  <c r="J108" i="12"/>
  <c r="K108" i="12"/>
  <c r="B239" i="12"/>
  <c r="C239" i="12"/>
  <c r="D239" i="12"/>
  <c r="E239" i="12"/>
  <c r="F239" i="12"/>
  <c r="G239" i="12"/>
  <c r="H239" i="12"/>
  <c r="I239" i="12"/>
  <c r="J239" i="12"/>
  <c r="K239" i="12"/>
  <c r="B243" i="12"/>
  <c r="C243" i="12"/>
  <c r="D243" i="12"/>
  <c r="E243" i="12"/>
  <c r="F243" i="12"/>
  <c r="G243" i="12"/>
  <c r="H243" i="12"/>
  <c r="I243" i="12"/>
  <c r="J243" i="12"/>
  <c r="K243" i="12"/>
  <c r="B245" i="12"/>
  <c r="C245" i="12"/>
  <c r="D245" i="12"/>
  <c r="E245" i="12"/>
  <c r="F245" i="12"/>
  <c r="G245" i="12"/>
  <c r="H245" i="12"/>
  <c r="I245" i="12"/>
  <c r="J245" i="12"/>
  <c r="K245" i="12"/>
  <c r="B248" i="12"/>
  <c r="C248" i="12"/>
  <c r="D248" i="12"/>
  <c r="E248" i="12"/>
  <c r="F248" i="12"/>
  <c r="G248" i="12"/>
  <c r="H248" i="12"/>
  <c r="I248" i="12"/>
  <c r="J248" i="12"/>
  <c r="K248" i="12"/>
  <c r="B249" i="12"/>
  <c r="C249" i="12"/>
  <c r="D249" i="12"/>
  <c r="E249" i="12"/>
  <c r="F249" i="12"/>
  <c r="G249" i="12"/>
  <c r="H249" i="12"/>
  <c r="I249" i="12"/>
  <c r="J249" i="12"/>
  <c r="K249" i="12"/>
  <c r="B250" i="12"/>
  <c r="C250" i="12"/>
  <c r="D250" i="12"/>
  <c r="E250" i="12"/>
  <c r="F250" i="12"/>
  <c r="G250" i="12"/>
  <c r="H250" i="12"/>
  <c r="I250" i="12"/>
  <c r="J250" i="12"/>
  <c r="K250" i="12"/>
  <c r="B255" i="12"/>
  <c r="C255" i="12"/>
  <c r="D255" i="12"/>
  <c r="E255" i="12"/>
  <c r="F255" i="12"/>
  <c r="G255" i="12"/>
  <c r="H255" i="12"/>
  <c r="I255" i="12"/>
  <c r="J255" i="12"/>
  <c r="K255" i="12"/>
  <c r="B256" i="12"/>
  <c r="C256" i="12"/>
  <c r="D256" i="12"/>
  <c r="E256" i="12"/>
  <c r="F256" i="12"/>
  <c r="G256" i="12"/>
  <c r="H256" i="12"/>
  <c r="I256" i="12"/>
  <c r="J256" i="12"/>
  <c r="K256" i="12"/>
  <c r="B257" i="12"/>
  <c r="C257" i="12"/>
  <c r="D257" i="12"/>
  <c r="E257" i="12"/>
  <c r="F257" i="12"/>
  <c r="G257" i="12"/>
  <c r="H257" i="12"/>
  <c r="I257" i="12"/>
  <c r="J257" i="12"/>
  <c r="K257" i="12"/>
  <c r="B258" i="12"/>
  <c r="C258" i="12"/>
  <c r="D258" i="12"/>
  <c r="E258" i="12"/>
  <c r="F258" i="12"/>
  <c r="G258" i="12"/>
  <c r="H258" i="12"/>
  <c r="I258" i="12"/>
  <c r="J258" i="12"/>
  <c r="K258" i="12"/>
  <c r="B259" i="12"/>
  <c r="C259" i="12"/>
  <c r="D259" i="12"/>
  <c r="E259" i="12"/>
  <c r="F259" i="12"/>
  <c r="G259" i="12"/>
  <c r="H259" i="12"/>
  <c r="I259" i="12"/>
  <c r="J259" i="12"/>
  <c r="K259" i="12"/>
  <c r="B263" i="12"/>
  <c r="C263" i="12"/>
  <c r="D263" i="12"/>
  <c r="E263" i="12"/>
  <c r="F263" i="12"/>
  <c r="G263" i="12"/>
  <c r="H263" i="12"/>
  <c r="I263" i="12"/>
  <c r="J263" i="12"/>
  <c r="K263" i="12"/>
  <c r="B270" i="12"/>
  <c r="C270" i="12"/>
  <c r="D270" i="12"/>
  <c r="E270" i="12"/>
  <c r="F270" i="12"/>
  <c r="G270" i="12"/>
  <c r="H270" i="12"/>
  <c r="I270" i="12"/>
  <c r="J270" i="12"/>
  <c r="K270" i="12"/>
  <c r="B271" i="12"/>
  <c r="C271" i="12"/>
  <c r="D271" i="12"/>
  <c r="E271" i="12"/>
  <c r="F271" i="12"/>
  <c r="G271" i="12"/>
  <c r="H271" i="12"/>
  <c r="I271" i="12"/>
  <c r="J271" i="12"/>
  <c r="K271" i="12"/>
  <c r="B272" i="12"/>
  <c r="C272" i="12"/>
  <c r="D272" i="12"/>
  <c r="E272" i="12"/>
  <c r="F272" i="12"/>
  <c r="G272" i="12"/>
  <c r="H272" i="12"/>
  <c r="I272" i="12"/>
  <c r="J272" i="12"/>
  <c r="K272" i="12"/>
  <c r="B273" i="12"/>
  <c r="C273" i="12"/>
  <c r="D273" i="12"/>
  <c r="E273" i="12"/>
  <c r="F273" i="12"/>
  <c r="G273" i="12"/>
  <c r="H273" i="12"/>
  <c r="I273" i="12"/>
  <c r="J273" i="12"/>
  <c r="K273" i="12"/>
  <c r="B282" i="12"/>
  <c r="C282" i="12"/>
  <c r="D282" i="12"/>
  <c r="E282" i="12"/>
  <c r="F282" i="12"/>
  <c r="G282" i="12"/>
  <c r="H282" i="12"/>
  <c r="I282" i="12"/>
  <c r="J282" i="12"/>
  <c r="K282" i="12"/>
  <c r="B283" i="12"/>
  <c r="C283" i="12"/>
  <c r="D283" i="12"/>
  <c r="E283" i="12"/>
  <c r="F283" i="12"/>
  <c r="G283" i="12"/>
  <c r="H283" i="12"/>
  <c r="I283" i="12"/>
  <c r="J283" i="12"/>
  <c r="K283" i="12"/>
  <c r="B284" i="12"/>
  <c r="C284" i="12"/>
  <c r="D284" i="12"/>
  <c r="E284" i="12"/>
  <c r="F284" i="12"/>
  <c r="G284" i="12"/>
  <c r="H284" i="12"/>
  <c r="I284" i="12"/>
  <c r="J284" i="12"/>
  <c r="K284" i="12"/>
  <c r="B285" i="12"/>
  <c r="C285" i="12"/>
  <c r="D285" i="12"/>
  <c r="E285" i="12"/>
  <c r="F285" i="12"/>
  <c r="G285" i="12"/>
  <c r="H285" i="12"/>
  <c r="I285" i="12"/>
  <c r="J285" i="12"/>
  <c r="K285" i="12"/>
  <c r="B286" i="12"/>
  <c r="C286" i="12"/>
  <c r="D286" i="12"/>
  <c r="E286" i="12"/>
  <c r="F286" i="12"/>
  <c r="G286" i="12"/>
  <c r="H286" i="12"/>
  <c r="I286" i="12"/>
  <c r="J286" i="12"/>
  <c r="K286" i="12"/>
  <c r="B287" i="12"/>
  <c r="C287" i="12"/>
  <c r="D287" i="12"/>
  <c r="E287" i="12"/>
  <c r="F287" i="12"/>
  <c r="G287" i="12"/>
  <c r="H287" i="12"/>
  <c r="I287" i="12"/>
  <c r="J287" i="12"/>
  <c r="K287" i="12"/>
  <c r="B288" i="12"/>
  <c r="C288" i="12"/>
  <c r="D288" i="12"/>
  <c r="E288" i="12"/>
  <c r="F288" i="12"/>
  <c r="G288" i="12"/>
  <c r="H288" i="12"/>
  <c r="I288" i="12"/>
  <c r="J288" i="12"/>
  <c r="K288" i="12"/>
  <c r="B289" i="12"/>
  <c r="C289" i="12"/>
  <c r="D289" i="12"/>
  <c r="E289" i="12"/>
  <c r="F289" i="12"/>
  <c r="G289" i="12"/>
  <c r="H289" i="12"/>
  <c r="I289" i="12"/>
  <c r="J289" i="12"/>
  <c r="K289" i="12"/>
  <c r="B290" i="12"/>
  <c r="C290" i="12"/>
  <c r="D290" i="12"/>
  <c r="E290" i="12"/>
  <c r="F290" i="12"/>
  <c r="G290" i="12"/>
  <c r="H290" i="12"/>
  <c r="I290" i="12"/>
  <c r="J290" i="12"/>
  <c r="K290" i="12"/>
  <c r="B292" i="12"/>
  <c r="C292" i="12"/>
  <c r="D292" i="12"/>
  <c r="E292" i="12"/>
  <c r="F292" i="12"/>
  <c r="G292" i="12"/>
  <c r="H292" i="12"/>
  <c r="I292" i="12"/>
  <c r="J292" i="12"/>
  <c r="K292" i="12"/>
  <c r="B298" i="12"/>
  <c r="C298" i="12"/>
  <c r="D298" i="12"/>
  <c r="E298" i="12"/>
  <c r="F298" i="12"/>
  <c r="G298" i="12"/>
  <c r="H298" i="12"/>
  <c r="I298" i="12"/>
  <c r="J298" i="12"/>
  <c r="K298" i="12"/>
  <c r="B299" i="12"/>
  <c r="C299" i="12"/>
  <c r="D299" i="12"/>
  <c r="E299" i="12"/>
  <c r="F299" i="12"/>
  <c r="G299" i="12"/>
  <c r="H299" i="12"/>
  <c r="I299" i="12"/>
  <c r="J299" i="12"/>
  <c r="K299" i="12"/>
  <c r="B300" i="12"/>
  <c r="C300" i="12"/>
  <c r="D300" i="12"/>
  <c r="E300" i="12"/>
  <c r="F300" i="12"/>
  <c r="G300" i="12"/>
  <c r="H300" i="12"/>
  <c r="I300" i="12"/>
  <c r="J300" i="12"/>
  <c r="K300" i="12"/>
  <c r="B301" i="12"/>
  <c r="C301" i="12"/>
  <c r="D301" i="12"/>
  <c r="E301" i="12"/>
  <c r="F301" i="12"/>
  <c r="G301" i="12"/>
  <c r="H301" i="12"/>
  <c r="I301" i="12"/>
  <c r="J301" i="12"/>
  <c r="K301" i="12"/>
  <c r="B302" i="12"/>
  <c r="C302" i="12"/>
  <c r="D302" i="12"/>
  <c r="E302" i="12"/>
  <c r="F302" i="12"/>
  <c r="G302" i="12"/>
  <c r="H302" i="12"/>
  <c r="I302" i="12"/>
  <c r="J302" i="12"/>
  <c r="K302" i="12"/>
  <c r="B303" i="12"/>
  <c r="C303" i="12"/>
  <c r="D303" i="12"/>
  <c r="E303" i="12"/>
  <c r="F303" i="12"/>
  <c r="G303" i="12"/>
  <c r="H303" i="12"/>
  <c r="I303" i="12"/>
  <c r="J303" i="12"/>
  <c r="K303" i="12"/>
  <c r="B311" i="12"/>
  <c r="C311" i="12"/>
  <c r="D311" i="12"/>
  <c r="E311" i="12"/>
  <c r="F311" i="12"/>
  <c r="G311" i="12"/>
  <c r="H311" i="12"/>
  <c r="I311" i="12"/>
  <c r="J311" i="12"/>
  <c r="K311" i="12"/>
  <c r="B319" i="12"/>
  <c r="C319" i="12"/>
  <c r="D319" i="12"/>
  <c r="E319" i="12"/>
  <c r="F319" i="12"/>
  <c r="G319" i="12"/>
  <c r="H319" i="12"/>
  <c r="I319" i="12"/>
  <c r="J319" i="12"/>
  <c r="K319" i="12"/>
  <c r="B323" i="12"/>
  <c r="C323" i="12"/>
  <c r="D323" i="12"/>
  <c r="E323" i="12"/>
  <c r="F323" i="12"/>
  <c r="G323" i="12"/>
  <c r="H323" i="12"/>
  <c r="I323" i="12"/>
  <c r="J323" i="12"/>
  <c r="K323" i="12"/>
  <c r="B324" i="12"/>
  <c r="C324" i="12"/>
  <c r="D324" i="12"/>
  <c r="E324" i="12"/>
  <c r="F324" i="12"/>
  <c r="G324" i="12"/>
  <c r="H324" i="12"/>
  <c r="I324" i="12"/>
  <c r="J324" i="12"/>
  <c r="K324" i="12"/>
  <c r="B327" i="12"/>
  <c r="C327" i="12"/>
  <c r="D327" i="12"/>
  <c r="E327" i="12"/>
  <c r="F327" i="12"/>
  <c r="G327" i="12"/>
  <c r="H327" i="12"/>
  <c r="I327" i="12"/>
  <c r="J327" i="12"/>
  <c r="K327" i="12"/>
  <c r="B328" i="12"/>
  <c r="C328" i="12"/>
  <c r="D328" i="12"/>
  <c r="E328" i="12"/>
  <c r="F328" i="12"/>
  <c r="G328" i="12"/>
  <c r="H328" i="12"/>
  <c r="I328" i="12"/>
  <c r="J328" i="12"/>
  <c r="K328" i="12"/>
  <c r="B329" i="12"/>
  <c r="C329" i="12"/>
  <c r="D329" i="12"/>
  <c r="E329" i="12"/>
  <c r="F329" i="12"/>
  <c r="G329" i="12"/>
  <c r="H329" i="12"/>
  <c r="I329" i="12"/>
  <c r="J329" i="12"/>
  <c r="K329" i="12"/>
  <c r="J2" i="12"/>
  <c r="I2" i="12"/>
  <c r="H2" i="12"/>
  <c r="G2" i="12"/>
  <c r="F2" i="12"/>
  <c r="E2" i="12"/>
  <c r="D2" i="12"/>
  <c r="C2" i="12"/>
  <c r="B2" i="12"/>
  <c r="H17" i="1"/>
  <c r="H18" i="1"/>
  <c r="I18" i="1" s="1"/>
  <c r="H19" i="1"/>
  <c r="I19" i="1" s="1"/>
  <c r="H20" i="1"/>
  <c r="I20" i="1" s="1"/>
  <c r="T2" i="12" l="1"/>
  <c r="U2" i="12" s="1"/>
  <c r="T333" i="12"/>
  <c r="U333" i="12" s="1"/>
  <c r="Y7" i="12" s="1"/>
  <c r="T329" i="12"/>
  <c r="U329" i="12" s="1"/>
  <c r="T532" i="12"/>
  <c r="U532" i="12" s="1"/>
  <c r="T531" i="12"/>
  <c r="U531" i="12" s="1"/>
  <c r="T530" i="12"/>
  <c r="U530" i="12" s="1"/>
  <c r="T529" i="12"/>
  <c r="U529" i="12" s="1"/>
  <c r="T528" i="12"/>
  <c r="U528" i="12" s="1"/>
  <c r="T522" i="12"/>
  <c r="U522" i="12" s="1"/>
  <c r="T521" i="12"/>
  <c r="U521" i="12" s="1"/>
  <c r="T520" i="12"/>
  <c r="U520" i="12" s="1"/>
  <c r="T519" i="12"/>
  <c r="U519" i="12" s="1"/>
  <c r="T518" i="12"/>
  <c r="U518" i="12" s="1"/>
  <c r="T517" i="12"/>
  <c r="U517" i="12" s="1"/>
  <c r="T515" i="12"/>
  <c r="U515" i="12" s="1"/>
  <c r="T514" i="12"/>
  <c r="U514" i="12" s="1"/>
  <c r="T513" i="12"/>
  <c r="U513" i="12" s="1"/>
  <c r="T512" i="12"/>
  <c r="U512" i="12" s="1"/>
  <c r="T511" i="12"/>
  <c r="U511" i="12" s="1"/>
  <c r="T510" i="12"/>
  <c r="U510" i="12" s="1"/>
  <c r="T509" i="12"/>
  <c r="U509" i="12" s="1"/>
  <c r="T508" i="12"/>
  <c r="U508" i="12" s="1"/>
  <c r="T507" i="12"/>
  <c r="U507" i="12" s="1"/>
  <c r="T506" i="12"/>
  <c r="U506" i="12" s="1"/>
  <c r="Y17" i="12" s="1"/>
  <c r="T505" i="12"/>
  <c r="U505" i="12" s="1"/>
  <c r="T502" i="12"/>
  <c r="U502" i="12" s="1"/>
  <c r="T500" i="12"/>
  <c r="U500" i="12" s="1"/>
  <c r="T498" i="12"/>
  <c r="U498" i="12" s="1"/>
  <c r="T497" i="12"/>
  <c r="U497" i="12" s="1"/>
  <c r="T496" i="12"/>
  <c r="U496" i="12" s="1"/>
  <c r="T495" i="12"/>
  <c r="U495" i="12" s="1"/>
  <c r="T494" i="12"/>
  <c r="U494" i="12" s="1"/>
  <c r="T493" i="12"/>
  <c r="U493" i="12" s="1"/>
  <c r="T492" i="12"/>
  <c r="U492" i="12" s="1"/>
  <c r="AB13" i="12" s="1"/>
  <c r="T491" i="12"/>
  <c r="U491" i="12" s="1"/>
  <c r="T490" i="12"/>
  <c r="U490" i="12" s="1"/>
  <c r="T489" i="12"/>
  <c r="U489" i="12" s="1"/>
  <c r="T488" i="12"/>
  <c r="U488" i="12" s="1"/>
  <c r="T487" i="12"/>
  <c r="U487" i="12" s="1"/>
  <c r="T485" i="12"/>
  <c r="U485" i="12" s="1"/>
  <c r="T484" i="12"/>
  <c r="U484" i="12" s="1"/>
  <c r="T483" i="12"/>
  <c r="U483" i="12" s="1"/>
  <c r="AC8" i="12" s="1"/>
  <c r="T482" i="12"/>
  <c r="U482" i="12" s="1"/>
  <c r="T480" i="12"/>
  <c r="U480" i="12" s="1"/>
  <c r="T478" i="12"/>
  <c r="U478" i="12" s="1"/>
  <c r="T477" i="12"/>
  <c r="U477" i="12" s="1"/>
  <c r="T476" i="12"/>
  <c r="U476" i="12" s="1"/>
  <c r="T475" i="12"/>
  <c r="U475" i="12" s="1"/>
  <c r="T474" i="12"/>
  <c r="U474" i="12" s="1"/>
  <c r="T473" i="12"/>
  <c r="U473" i="12" s="1"/>
  <c r="T472" i="12"/>
  <c r="U472" i="12" s="1"/>
  <c r="T471" i="12"/>
  <c r="U471" i="12" s="1"/>
  <c r="T470" i="12"/>
  <c r="U470" i="12" s="1"/>
  <c r="T469" i="12"/>
  <c r="U469" i="12" s="1"/>
  <c r="T468" i="12"/>
  <c r="U468" i="12" s="1"/>
  <c r="T467" i="12"/>
  <c r="U467" i="12" s="1"/>
  <c r="T465" i="12"/>
  <c r="U465" i="12" s="1"/>
  <c r="T464" i="12"/>
  <c r="U464" i="12" s="1"/>
  <c r="T463" i="12"/>
  <c r="U463" i="12" s="1"/>
  <c r="T462" i="12"/>
  <c r="U462" i="12" s="1"/>
  <c r="T461" i="12"/>
  <c r="U461" i="12" s="1"/>
  <c r="Y16" i="12" s="1"/>
  <c r="T460" i="12"/>
  <c r="U460" i="12" s="1"/>
  <c r="T459" i="12"/>
  <c r="U459" i="12" s="1"/>
  <c r="T458" i="12"/>
  <c r="U458" i="12" s="1"/>
  <c r="T457" i="12"/>
  <c r="U457" i="12" s="1"/>
  <c r="T456" i="12"/>
  <c r="U456" i="12" s="1"/>
  <c r="T455" i="12"/>
  <c r="U455" i="12" s="1"/>
  <c r="T454" i="12"/>
  <c r="U454" i="12" s="1"/>
  <c r="T453" i="12"/>
  <c r="U453" i="12" s="1"/>
  <c r="T452" i="12"/>
  <c r="U452" i="12" s="1"/>
  <c r="T451" i="12"/>
  <c r="U451" i="12" s="1"/>
  <c r="T450" i="12"/>
  <c r="U450" i="12" s="1"/>
  <c r="T449" i="12"/>
  <c r="U449" i="12" s="1"/>
  <c r="T448" i="12"/>
  <c r="U448" i="12" s="1"/>
  <c r="T447" i="12"/>
  <c r="U447" i="12" s="1"/>
  <c r="Z21" i="12" s="1"/>
  <c r="T446" i="12"/>
  <c r="U446" i="12" s="1"/>
  <c r="Z20" i="12" s="1"/>
  <c r="T445" i="12"/>
  <c r="U445" i="12" s="1"/>
  <c r="Z19" i="12" s="1"/>
  <c r="T444" i="12"/>
  <c r="U444" i="12" s="1"/>
  <c r="Z18" i="12" s="1"/>
  <c r="T443" i="12"/>
  <c r="U443" i="12" s="1"/>
  <c r="T441" i="12"/>
  <c r="U441" i="12" s="1"/>
  <c r="T440" i="12"/>
  <c r="U440" i="12" s="1"/>
  <c r="Y15" i="12" s="1"/>
  <c r="T439" i="12"/>
  <c r="U439" i="12" s="1"/>
  <c r="T328" i="12"/>
  <c r="U328" i="12" s="1"/>
  <c r="T327" i="12"/>
  <c r="U327" i="12" s="1"/>
  <c r="T324" i="12"/>
  <c r="U324" i="12" s="1"/>
  <c r="AA2" i="12" s="1"/>
  <c r="T323" i="12"/>
  <c r="U323" i="12" s="1"/>
  <c r="T319" i="12"/>
  <c r="U319" i="12" s="1"/>
  <c r="T311" i="12"/>
  <c r="U311" i="12" s="1"/>
  <c r="T303" i="12"/>
  <c r="U303" i="12" s="1"/>
  <c r="T302" i="12"/>
  <c r="U302" i="12" s="1"/>
  <c r="T301" i="12"/>
  <c r="U301" i="12" s="1"/>
  <c r="T300" i="12"/>
  <c r="U300" i="12" s="1"/>
  <c r="T299" i="12"/>
  <c r="U299" i="12" s="1"/>
  <c r="T298" i="12"/>
  <c r="U298" i="12" s="1"/>
  <c r="T292" i="12"/>
  <c r="U292" i="12" s="1"/>
  <c r="T290" i="12"/>
  <c r="U290" i="12" s="1"/>
  <c r="T289" i="12"/>
  <c r="U289" i="12" s="1"/>
  <c r="T288" i="12"/>
  <c r="U288" i="12" s="1"/>
  <c r="T287" i="12"/>
  <c r="U287" i="12" s="1"/>
  <c r="T286" i="12"/>
  <c r="U286" i="12" s="1"/>
  <c r="T285" i="12"/>
  <c r="U285" i="12" s="1"/>
  <c r="T284" i="12"/>
  <c r="U284" i="12" s="1"/>
  <c r="T283" i="12"/>
  <c r="U283" i="12" s="1"/>
  <c r="T282" i="12"/>
  <c r="U282" i="12" s="1"/>
  <c r="T273" i="12"/>
  <c r="U273" i="12" s="1"/>
  <c r="T272" i="12"/>
  <c r="U272" i="12" s="1"/>
  <c r="T271" i="12"/>
  <c r="U271" i="12" s="1"/>
  <c r="T270" i="12"/>
  <c r="U270" i="12" s="1"/>
  <c r="T263" i="12"/>
  <c r="U263" i="12" s="1"/>
  <c r="T259" i="12"/>
  <c r="U259" i="12" s="1"/>
  <c r="Z11" i="12" s="1"/>
  <c r="T258" i="12"/>
  <c r="U258" i="12" s="1"/>
  <c r="T257" i="12"/>
  <c r="U257" i="12" s="1"/>
  <c r="T256" i="12"/>
  <c r="U256" i="12" s="1"/>
  <c r="T255" i="12"/>
  <c r="U255" i="12" s="1"/>
  <c r="T250" i="12"/>
  <c r="U250" i="12" s="1"/>
  <c r="T249" i="12"/>
  <c r="U249" i="12" s="1"/>
  <c r="T248" i="12"/>
  <c r="U248" i="12" s="1"/>
  <c r="T245" i="12"/>
  <c r="U245" i="12" s="1"/>
  <c r="T243" i="12"/>
  <c r="U243" i="12" s="1"/>
  <c r="T239" i="12"/>
  <c r="U239" i="12" s="1"/>
  <c r="T108" i="12"/>
  <c r="U108" i="12" s="1"/>
  <c r="T238" i="12"/>
  <c r="U238" i="12" s="1"/>
  <c r="T237" i="12"/>
  <c r="U237" i="12" s="1"/>
  <c r="T236" i="12"/>
  <c r="U236" i="12" s="1"/>
  <c r="T235" i="12"/>
  <c r="U235" i="12" s="1"/>
  <c r="T234" i="12"/>
  <c r="U234" i="12" s="1"/>
  <c r="T233" i="12"/>
  <c r="U233" i="12" s="1"/>
  <c r="T232" i="12"/>
  <c r="U232" i="12" s="1"/>
  <c r="T231" i="12"/>
  <c r="U231" i="12" s="1"/>
  <c r="T212" i="12"/>
  <c r="U212" i="12" s="1"/>
  <c r="T211" i="12"/>
  <c r="U211" i="12" s="1"/>
  <c r="T210" i="12"/>
  <c r="U210" i="12" s="1"/>
  <c r="T189" i="12"/>
  <c r="U189" i="12" s="1"/>
  <c r="T188" i="12"/>
  <c r="U188" i="12" s="1"/>
  <c r="T184" i="12"/>
  <c r="U184" i="12" s="1"/>
  <c r="T179" i="12"/>
  <c r="U179" i="12" s="1"/>
  <c r="T178" i="12"/>
  <c r="U178" i="12" s="1"/>
  <c r="T176" i="12"/>
  <c r="U176" i="12" s="1"/>
  <c r="T175" i="12"/>
  <c r="U175" i="12" s="1"/>
  <c r="T174" i="12"/>
  <c r="U174" i="12" s="1"/>
  <c r="T173" i="12"/>
  <c r="U173" i="12" s="1"/>
  <c r="T167" i="12"/>
  <c r="U167" i="12" s="1"/>
  <c r="T166" i="12"/>
  <c r="U166" i="12" s="1"/>
  <c r="T165" i="12"/>
  <c r="U165" i="12" s="1"/>
  <c r="T164" i="12"/>
  <c r="U164" i="12" s="1"/>
  <c r="T163" i="12"/>
  <c r="U163" i="12" s="1"/>
  <c r="T161" i="12"/>
  <c r="U161" i="12" s="1"/>
  <c r="T159" i="12"/>
  <c r="U159" i="12" s="1"/>
  <c r="T144" i="12"/>
  <c r="U144" i="12" s="1"/>
  <c r="T143" i="12"/>
  <c r="U143" i="12" s="1"/>
  <c r="T142" i="12"/>
  <c r="U142" i="12" s="1"/>
  <c r="T137" i="12"/>
  <c r="U137" i="12" s="1"/>
  <c r="T136" i="12"/>
  <c r="U136" i="12" s="1"/>
  <c r="T132" i="12"/>
  <c r="U132" i="12" s="1"/>
  <c r="T131" i="12"/>
  <c r="U131" i="12" s="1"/>
  <c r="T130" i="12"/>
  <c r="U130" i="12" s="1"/>
  <c r="T129" i="12"/>
  <c r="U129" i="12" s="1"/>
  <c r="T128" i="12"/>
  <c r="U128" i="12" s="1"/>
  <c r="T127" i="12"/>
  <c r="U127" i="12" s="1"/>
  <c r="T122" i="12"/>
  <c r="U122" i="12" s="1"/>
  <c r="T119" i="12"/>
  <c r="U119" i="12" s="1"/>
  <c r="T118" i="12"/>
  <c r="U118" i="12" s="1"/>
  <c r="W17" i="12" s="1"/>
  <c r="W6" i="12" s="1"/>
  <c r="T117" i="12"/>
  <c r="U117" i="12" s="1"/>
  <c r="T113" i="12"/>
  <c r="U113" i="12" s="1"/>
  <c r="T112" i="12"/>
  <c r="U112" i="12" s="1"/>
  <c r="T111" i="12"/>
  <c r="U111" i="12" s="1"/>
  <c r="T110" i="12"/>
  <c r="U110" i="12" s="1"/>
  <c r="T109" i="12"/>
  <c r="U109" i="12" s="1"/>
  <c r="X3" i="2" s="1"/>
  <c r="T105" i="12"/>
  <c r="U105" i="12" s="1"/>
  <c r="T104" i="12"/>
  <c r="U104" i="12" s="1"/>
  <c r="T102" i="12"/>
  <c r="U102" i="12" s="1"/>
  <c r="T101" i="12"/>
  <c r="U101" i="12" s="1"/>
  <c r="T100" i="12"/>
  <c r="U100" i="12" s="1"/>
  <c r="T96" i="12"/>
  <c r="U96" i="12" s="1"/>
  <c r="T95" i="12"/>
  <c r="U95" i="12" s="1"/>
  <c r="T87" i="12"/>
  <c r="U87" i="12" s="1"/>
  <c r="AA11" i="12" s="1"/>
  <c r="T86" i="12"/>
  <c r="U86" i="12" s="1"/>
  <c r="T85" i="12"/>
  <c r="U85" i="12" s="1"/>
  <c r="T84" i="12"/>
  <c r="U84" i="12" s="1"/>
  <c r="T80" i="12"/>
  <c r="U80" i="12" s="1"/>
  <c r="T72" i="12"/>
  <c r="U72" i="12" s="1"/>
  <c r="T70" i="12"/>
  <c r="U70" i="12" s="1"/>
  <c r="T69" i="12"/>
  <c r="U69" i="12" s="1"/>
  <c r="T68" i="12"/>
  <c r="U68" i="12" s="1"/>
  <c r="T67" i="12"/>
  <c r="U67" i="12" s="1"/>
  <c r="T66" i="12"/>
  <c r="U66" i="12" s="1"/>
  <c r="T64" i="12"/>
  <c r="U64" i="12" s="1"/>
  <c r="T50" i="12"/>
  <c r="U50" i="12" s="1"/>
  <c r="T48" i="12"/>
  <c r="U48" i="12" s="1"/>
  <c r="Y19" i="12" s="1"/>
  <c r="T43" i="12"/>
  <c r="U43" i="12" s="1"/>
  <c r="T42" i="12"/>
  <c r="U42" i="12" s="1"/>
  <c r="T41" i="12"/>
  <c r="U41" i="12" s="1"/>
  <c r="T40" i="12"/>
  <c r="U40" i="12" s="1"/>
  <c r="T39" i="12"/>
  <c r="U39" i="12" s="1"/>
  <c r="AA7" i="12" s="1"/>
  <c r="T33" i="12"/>
  <c r="U33" i="12" s="1"/>
  <c r="T29" i="12"/>
  <c r="U29" i="12" s="1"/>
  <c r="T28" i="12"/>
  <c r="U28" i="12" s="1"/>
  <c r="T16" i="12"/>
  <c r="U16" i="12" s="1"/>
  <c r="T15" i="12"/>
  <c r="U15" i="12" s="1"/>
  <c r="T14" i="12"/>
  <c r="U14" i="12" s="1"/>
  <c r="B156" i="3" s="1"/>
  <c r="T13" i="12"/>
  <c r="U13" i="12" s="1"/>
  <c r="T12" i="12"/>
  <c r="U12" i="12" s="1"/>
  <c r="T11" i="12"/>
  <c r="U11" i="12" s="1"/>
  <c r="T6" i="12"/>
  <c r="U6" i="12" s="1"/>
  <c r="T5" i="12"/>
  <c r="U5" i="12" s="1"/>
  <c r="T4" i="12"/>
  <c r="U4" i="12" s="1"/>
  <c r="T3" i="12"/>
  <c r="U3" i="12" s="1"/>
  <c r="T438" i="12"/>
  <c r="U438" i="12" s="1"/>
  <c r="T437" i="12"/>
  <c r="U437" i="12" s="1"/>
  <c r="T436" i="12"/>
  <c r="U436" i="12" s="1"/>
  <c r="T435" i="12"/>
  <c r="U435" i="12" s="1"/>
  <c r="T434" i="12"/>
  <c r="U434" i="12" s="1"/>
  <c r="T432" i="12"/>
  <c r="U432" i="12" s="1"/>
  <c r="T431" i="12"/>
  <c r="U431" i="12" s="1"/>
  <c r="T430" i="12"/>
  <c r="U430" i="12" s="1"/>
  <c r="T429" i="12"/>
  <c r="U429" i="12" s="1"/>
  <c r="T428" i="12"/>
  <c r="U428" i="12" s="1"/>
  <c r="T427" i="12"/>
  <c r="U427" i="12" s="1"/>
  <c r="T426" i="12"/>
  <c r="U426" i="12" s="1"/>
  <c r="T425" i="12"/>
  <c r="U425" i="12" s="1"/>
  <c r="T424" i="12"/>
  <c r="U424" i="12" s="1"/>
  <c r="T423" i="12"/>
  <c r="U423" i="12" s="1"/>
  <c r="T422" i="12"/>
  <c r="U422" i="12" s="1"/>
  <c r="T421" i="12"/>
  <c r="U421" i="12" s="1"/>
  <c r="T420" i="12"/>
  <c r="U420" i="12" s="1"/>
  <c r="T419" i="12"/>
  <c r="U419" i="12" s="1"/>
  <c r="T418" i="12"/>
  <c r="U418" i="12" s="1"/>
  <c r="AB12" i="12" s="1"/>
  <c r="T417" i="12"/>
  <c r="U417" i="12" s="1"/>
  <c r="T416" i="12"/>
  <c r="U416" i="12" s="1"/>
  <c r="T414" i="12"/>
  <c r="U414" i="12" s="1"/>
  <c r="T413" i="12"/>
  <c r="U413" i="12" s="1"/>
  <c r="T412" i="12"/>
  <c r="U412" i="12" s="1"/>
  <c r="T411" i="12"/>
  <c r="U411" i="12" s="1"/>
  <c r="T410" i="12"/>
  <c r="U410" i="12" s="1"/>
  <c r="T409" i="12"/>
  <c r="U409" i="12" s="1"/>
  <c r="T408" i="12"/>
  <c r="U408" i="12" s="1"/>
  <c r="T407" i="12"/>
  <c r="U407" i="12" s="1"/>
  <c r="T406" i="12"/>
  <c r="U406" i="12" s="1"/>
  <c r="T405" i="12"/>
  <c r="U405" i="12" s="1"/>
  <c r="T404" i="12"/>
  <c r="U404" i="12" s="1"/>
  <c r="Y14" i="12" s="1"/>
  <c r="T403" i="12"/>
  <c r="U403" i="12" s="1"/>
  <c r="T402" i="12"/>
  <c r="U402" i="12" s="1"/>
  <c r="T401" i="12"/>
  <c r="U401" i="12" s="1"/>
  <c r="T400" i="12"/>
  <c r="U400" i="12" s="1"/>
  <c r="T399" i="12"/>
  <c r="U399" i="12" s="1"/>
  <c r="T398" i="12"/>
  <c r="U398" i="12" s="1"/>
  <c r="T397" i="12"/>
  <c r="U397" i="12" s="1"/>
  <c r="T396" i="12"/>
  <c r="U396" i="12" s="1"/>
  <c r="T395" i="12"/>
  <c r="U395" i="12" s="1"/>
  <c r="T394" i="12"/>
  <c r="U394" i="12" s="1"/>
  <c r="T393" i="12"/>
  <c r="U393" i="12" s="1"/>
  <c r="T392" i="12"/>
  <c r="U392" i="12" s="1"/>
  <c r="T391" i="12"/>
  <c r="U391" i="12" s="1"/>
  <c r="T390" i="12"/>
  <c r="U390" i="12" s="1"/>
  <c r="T389" i="12"/>
  <c r="U389" i="12" s="1"/>
  <c r="T388" i="12"/>
  <c r="U388" i="12" s="1"/>
  <c r="T387" i="12"/>
  <c r="U387" i="12" s="1"/>
  <c r="T386" i="12"/>
  <c r="U386" i="12" s="1"/>
  <c r="T385" i="12"/>
  <c r="U385" i="12" s="1"/>
  <c r="T384" i="12"/>
  <c r="U384" i="12" s="1"/>
  <c r="T383" i="12"/>
  <c r="U383" i="12" s="1"/>
  <c r="T382" i="12"/>
  <c r="U382" i="12" s="1"/>
  <c r="T381" i="12"/>
  <c r="U381" i="12" s="1"/>
  <c r="T380" i="12"/>
  <c r="U380" i="12" s="1"/>
  <c r="T378" i="12"/>
  <c r="U378" i="12" s="1"/>
  <c r="T376" i="12"/>
  <c r="U376" i="12" s="1"/>
  <c r="T375" i="12"/>
  <c r="T374" i="12"/>
  <c r="T373" i="12"/>
  <c r="U373" i="12" s="1"/>
  <c r="T372" i="12"/>
  <c r="U372" i="12" s="1"/>
  <c r="T371" i="12"/>
  <c r="U371" i="12" s="1"/>
  <c r="T370" i="12"/>
  <c r="U370" i="12" s="1"/>
  <c r="T369" i="12"/>
  <c r="U369" i="12" s="1"/>
  <c r="T368" i="12"/>
  <c r="U368" i="12" s="1"/>
  <c r="T367" i="12"/>
  <c r="U367" i="12" s="1"/>
  <c r="T366" i="12"/>
  <c r="U366" i="12" s="1"/>
  <c r="T363" i="12"/>
  <c r="U363" i="12" s="1"/>
  <c r="T362" i="12"/>
  <c r="U362" i="12" s="1"/>
  <c r="T361" i="12"/>
  <c r="U361" i="12" s="1"/>
  <c r="T360" i="12"/>
  <c r="U360" i="12" s="1"/>
  <c r="Z12" i="12" s="1"/>
  <c r="T359" i="12"/>
  <c r="U359" i="12" s="1"/>
  <c r="T357" i="12"/>
  <c r="U357" i="12" s="1"/>
  <c r="T356" i="12"/>
  <c r="U356" i="12" s="1"/>
  <c r="T355" i="12"/>
  <c r="U355" i="12" s="1"/>
  <c r="T349" i="12"/>
  <c r="U349" i="12" s="1"/>
  <c r="T346" i="12"/>
  <c r="U346" i="12" s="1"/>
  <c r="T345" i="12"/>
  <c r="U345" i="12" s="1"/>
  <c r="T344" i="12"/>
  <c r="U344" i="12" s="1"/>
  <c r="T343" i="12"/>
  <c r="U343" i="12" s="1"/>
  <c r="T342" i="12"/>
  <c r="U342" i="12" s="1"/>
  <c r="T334" i="12"/>
  <c r="U334" i="12" s="1"/>
  <c r="T347" i="12"/>
  <c r="U347" i="12" s="1"/>
  <c r="T377" i="12"/>
  <c r="U377" i="12" s="1"/>
  <c r="T501" i="12"/>
  <c r="U501" i="12" s="1"/>
  <c r="T503" i="12"/>
  <c r="U503" i="12" s="1"/>
  <c r="T358" i="12"/>
  <c r="U358" i="12" s="1"/>
  <c r="Y13" i="12" s="1"/>
  <c r="T433" i="12"/>
  <c r="U433" i="12" s="1"/>
  <c r="T504" i="12"/>
  <c r="U504" i="12" s="1"/>
  <c r="C335" i="12"/>
  <c r="E335" i="12"/>
  <c r="G335" i="12"/>
  <c r="I335" i="12"/>
  <c r="K335" i="12"/>
  <c r="B335" i="12"/>
  <c r="D335" i="12"/>
  <c r="F335" i="12"/>
  <c r="H335" i="12"/>
  <c r="J335" i="12"/>
  <c r="C337" i="12"/>
  <c r="E337" i="12"/>
  <c r="G337" i="12"/>
  <c r="I337" i="12"/>
  <c r="K337" i="12"/>
  <c r="B337" i="12"/>
  <c r="D337" i="12"/>
  <c r="F337" i="12"/>
  <c r="H337" i="12"/>
  <c r="J337" i="12"/>
  <c r="C339" i="12"/>
  <c r="E339" i="12"/>
  <c r="G339" i="12"/>
  <c r="I339" i="12"/>
  <c r="K339" i="12"/>
  <c r="B339" i="12"/>
  <c r="D339" i="12"/>
  <c r="F339" i="12"/>
  <c r="H339" i="12"/>
  <c r="J339" i="12"/>
  <c r="C351" i="12"/>
  <c r="E351" i="12"/>
  <c r="G351" i="12"/>
  <c r="I351" i="12"/>
  <c r="K351" i="12"/>
  <c r="B351" i="12"/>
  <c r="D351" i="12"/>
  <c r="F351" i="12"/>
  <c r="H351" i="12"/>
  <c r="J351" i="12"/>
  <c r="C353" i="12"/>
  <c r="E353" i="12"/>
  <c r="G353" i="12"/>
  <c r="I353" i="12"/>
  <c r="K353" i="12"/>
  <c r="B353" i="12"/>
  <c r="D353" i="12"/>
  <c r="F353" i="12"/>
  <c r="H353" i="12"/>
  <c r="J353" i="12"/>
  <c r="C442" i="12"/>
  <c r="E442" i="12"/>
  <c r="G442" i="12"/>
  <c r="I442" i="12"/>
  <c r="K442" i="12"/>
  <c r="B442" i="12"/>
  <c r="D442" i="12"/>
  <c r="F442" i="12"/>
  <c r="H442" i="12"/>
  <c r="J442" i="12"/>
  <c r="J527" i="12"/>
  <c r="H527" i="12"/>
  <c r="F527" i="12"/>
  <c r="D527" i="12"/>
  <c r="B527" i="12"/>
  <c r="K526" i="12"/>
  <c r="I526" i="12"/>
  <c r="G526" i="12"/>
  <c r="E526" i="12"/>
  <c r="C526" i="12"/>
  <c r="J525" i="12"/>
  <c r="H525" i="12"/>
  <c r="F525" i="12"/>
  <c r="D525" i="12"/>
  <c r="B525" i="12"/>
  <c r="K524" i="12"/>
  <c r="I524" i="12"/>
  <c r="G524" i="12"/>
  <c r="E524" i="12"/>
  <c r="C524" i="12"/>
  <c r="J523" i="12"/>
  <c r="H523" i="12"/>
  <c r="F523" i="12"/>
  <c r="D523" i="12"/>
  <c r="B523" i="12"/>
  <c r="B336" i="12"/>
  <c r="D336" i="12"/>
  <c r="F336" i="12"/>
  <c r="H336" i="12"/>
  <c r="J336" i="12"/>
  <c r="C336" i="12"/>
  <c r="E336" i="12"/>
  <c r="G336" i="12"/>
  <c r="I336" i="12"/>
  <c r="K336" i="12"/>
  <c r="B338" i="12"/>
  <c r="D338" i="12"/>
  <c r="F338" i="12"/>
  <c r="H338" i="12"/>
  <c r="J338" i="12"/>
  <c r="C338" i="12"/>
  <c r="E338" i="12"/>
  <c r="G338" i="12"/>
  <c r="I338" i="12"/>
  <c r="K338" i="12"/>
  <c r="B350" i="12"/>
  <c r="D350" i="12"/>
  <c r="F350" i="12"/>
  <c r="H350" i="12"/>
  <c r="J350" i="12"/>
  <c r="C350" i="12"/>
  <c r="E350" i="12"/>
  <c r="G350" i="12"/>
  <c r="I350" i="12"/>
  <c r="K350" i="12"/>
  <c r="B352" i="12"/>
  <c r="D352" i="12"/>
  <c r="F352" i="12"/>
  <c r="H352" i="12"/>
  <c r="J352" i="12"/>
  <c r="C352" i="12"/>
  <c r="E352" i="12"/>
  <c r="G352" i="12"/>
  <c r="I352" i="12"/>
  <c r="K352" i="12"/>
  <c r="B354" i="12"/>
  <c r="D354" i="12"/>
  <c r="F354" i="12"/>
  <c r="H354" i="12"/>
  <c r="J354" i="12"/>
  <c r="C354" i="12"/>
  <c r="E354" i="12"/>
  <c r="G354" i="12"/>
  <c r="I354" i="12"/>
  <c r="K354" i="12"/>
  <c r="K527" i="12"/>
  <c r="I527" i="12"/>
  <c r="G527" i="12"/>
  <c r="E527" i="12"/>
  <c r="J526" i="12"/>
  <c r="H526" i="12"/>
  <c r="F526" i="12"/>
  <c r="D526" i="12"/>
  <c r="K525" i="12"/>
  <c r="I525" i="12"/>
  <c r="G525" i="12"/>
  <c r="E525" i="12"/>
  <c r="J524" i="12"/>
  <c r="H524" i="12"/>
  <c r="F524" i="12"/>
  <c r="D524" i="12"/>
  <c r="K523" i="12"/>
  <c r="I523" i="12"/>
  <c r="G523" i="12"/>
  <c r="E523" i="12"/>
  <c r="B96" i="4" l="1"/>
  <c r="B245" i="4"/>
  <c r="B226" i="4"/>
  <c r="B183" i="4"/>
  <c r="B284" i="4"/>
  <c r="B322" i="4"/>
  <c r="B31" i="4"/>
  <c r="B39" i="4"/>
  <c r="B317" i="4"/>
  <c r="B314" i="4"/>
  <c r="B100" i="4"/>
  <c r="B75" i="4"/>
  <c r="B190" i="4"/>
  <c r="B95" i="4"/>
  <c r="B94" i="4"/>
  <c r="B333" i="4"/>
  <c r="B97" i="4"/>
  <c r="B29" i="4"/>
  <c r="B151" i="4"/>
  <c r="B300" i="4"/>
  <c r="B335" i="4"/>
  <c r="B311" i="4"/>
  <c r="B98" i="4"/>
  <c r="B171" i="4"/>
  <c r="B268" i="4"/>
  <c r="B90" i="4"/>
  <c r="B89" i="4"/>
  <c r="B91" i="4"/>
  <c r="B163" i="4"/>
  <c r="B152" i="4"/>
  <c r="B260" i="4"/>
  <c r="B186" i="4"/>
  <c r="B24" i="4"/>
  <c r="B301" i="4"/>
  <c r="B282" i="4"/>
  <c r="B315" i="4"/>
  <c r="B278" i="4"/>
  <c r="B330" i="4"/>
  <c r="B271" i="4"/>
  <c r="B267" i="4"/>
  <c r="B231" i="4"/>
  <c r="B221" i="4"/>
  <c r="B77" i="4"/>
  <c r="B230" i="4"/>
  <c r="B217" i="4"/>
  <c r="B175" i="4"/>
  <c r="B148" i="4"/>
  <c r="B318" i="4"/>
  <c r="B123" i="4"/>
  <c r="B184" i="4"/>
  <c r="B224" i="4"/>
  <c r="B72" i="4"/>
  <c r="B76" i="4"/>
  <c r="B81" i="4"/>
  <c r="V25" i="12"/>
  <c r="B140" i="4"/>
  <c r="AB9" i="12"/>
  <c r="BJ17" i="2"/>
  <c r="B19" i="10"/>
  <c r="B7" i="10"/>
  <c r="B21" i="10"/>
  <c r="B11" i="10"/>
  <c r="N9" i="2"/>
  <c r="F2" i="10"/>
  <c r="B4" i="10"/>
  <c r="B8" i="10"/>
  <c r="N4" i="2"/>
  <c r="B6" i="10"/>
  <c r="V23" i="12"/>
  <c r="B329" i="4" s="1"/>
  <c r="N6" i="2"/>
  <c r="B259" i="4"/>
  <c r="B192" i="4"/>
  <c r="B30" i="4"/>
  <c r="B52" i="4"/>
  <c r="B264" i="4"/>
  <c r="B58" i="4"/>
  <c r="B25" i="4"/>
  <c r="B35" i="4"/>
  <c r="B114" i="4"/>
  <c r="B324" i="4"/>
  <c r="B326" i="4"/>
  <c r="B325" i="4"/>
  <c r="B242" i="4"/>
  <c r="N5" i="11"/>
  <c r="N6" i="11"/>
  <c r="B257" i="4"/>
  <c r="B256" i="4"/>
  <c r="B118" i="4"/>
  <c r="B54" i="4"/>
  <c r="B334" i="4"/>
  <c r="B297" i="4"/>
  <c r="B213" i="4"/>
  <c r="B189" i="4"/>
  <c r="B178" i="4"/>
  <c r="B168" i="4"/>
  <c r="B124" i="4"/>
  <c r="B115" i="4"/>
  <c r="B107" i="4"/>
  <c r="B99" i="4"/>
  <c r="B88" i="4"/>
  <c r="B79" i="4"/>
  <c r="B66" i="4"/>
  <c r="B46" i="4"/>
  <c r="B28" i="4"/>
  <c r="B18" i="4"/>
  <c r="B10" i="4"/>
  <c r="B63" i="4"/>
  <c r="B37" i="4"/>
  <c r="B169" i="4"/>
  <c r="B258" i="4"/>
  <c r="B212" i="4"/>
  <c r="B188" i="4"/>
  <c r="B177" i="4"/>
  <c r="B167" i="4"/>
  <c r="B158" i="4"/>
  <c r="B139" i="4"/>
  <c r="B122" i="4"/>
  <c r="B106" i="4"/>
  <c r="B87" i="4"/>
  <c r="B45" i="4"/>
  <c r="B27" i="4"/>
  <c r="B9" i="4"/>
  <c r="B116" i="4"/>
  <c r="B19" i="4"/>
  <c r="B332" i="4"/>
  <c r="B211" i="4"/>
  <c r="B187" i="4"/>
  <c r="B176" i="4"/>
  <c r="B166" i="4"/>
  <c r="B146" i="4"/>
  <c r="B113" i="4"/>
  <c r="B105" i="4"/>
  <c r="B86" i="4"/>
  <c r="B74" i="4"/>
  <c r="B62" i="4"/>
  <c r="B53" i="4"/>
  <c r="B44" i="4"/>
  <c r="B36" i="4"/>
  <c r="B26" i="4"/>
  <c r="B8" i="4"/>
  <c r="B5" i="4"/>
  <c r="B125" i="4"/>
  <c r="B11" i="4"/>
  <c r="B331" i="4"/>
  <c r="B185" i="4"/>
  <c r="B165" i="4"/>
  <c r="B145" i="4"/>
  <c r="B137" i="4"/>
  <c r="B120" i="4"/>
  <c r="B112" i="4"/>
  <c r="B104" i="4"/>
  <c r="B93" i="4"/>
  <c r="B61" i="4"/>
  <c r="B51" i="4"/>
  <c r="B34" i="4"/>
  <c r="B23" i="4"/>
  <c r="B7" i="4"/>
  <c r="B252" i="4"/>
  <c r="B182" i="4"/>
  <c r="B173" i="4"/>
  <c r="B164" i="4"/>
  <c r="B155" i="4"/>
  <c r="B144" i="4"/>
  <c r="B136" i="4"/>
  <c r="B128" i="4"/>
  <c r="B119" i="4"/>
  <c r="B111" i="4"/>
  <c r="B103" i="4"/>
  <c r="B84" i="4"/>
  <c r="B60" i="4"/>
  <c r="B33" i="4"/>
  <c r="B22" i="4"/>
  <c r="B14" i="4"/>
  <c r="B6" i="4"/>
  <c r="B21" i="4"/>
  <c r="B160" i="4"/>
  <c r="B80" i="4"/>
  <c r="B181" i="4"/>
  <c r="B172" i="4"/>
  <c r="B162" i="4"/>
  <c r="B143" i="4"/>
  <c r="B127" i="4"/>
  <c r="B110" i="4"/>
  <c r="B102" i="4"/>
  <c r="B59" i="4"/>
  <c r="B49" i="4"/>
  <c r="B32" i="4"/>
  <c r="B13" i="4"/>
  <c r="B108" i="4"/>
  <c r="B191" i="4"/>
  <c r="B180" i="4"/>
  <c r="B126" i="4"/>
  <c r="B117" i="4"/>
  <c r="B109" i="4"/>
  <c r="B101" i="4"/>
  <c r="B82" i="4"/>
  <c r="B40" i="4"/>
  <c r="B20" i="4"/>
  <c r="B12" i="4"/>
  <c r="B4" i="4"/>
  <c r="B214" i="4"/>
  <c r="B179" i="4"/>
  <c r="B47" i="4"/>
  <c r="B43" i="4"/>
  <c r="B42" i="4"/>
  <c r="B48" i="4"/>
  <c r="B92" i="4"/>
  <c r="B142" i="4"/>
  <c r="B138" i="4"/>
  <c r="B161" i="4"/>
  <c r="B159" i="4"/>
  <c r="B85" i="4"/>
  <c r="B157" i="4"/>
  <c r="B170" i="4"/>
  <c r="B50" i="4"/>
  <c r="B57" i="4"/>
  <c r="B38" i="4"/>
  <c r="B154" i="4"/>
  <c r="B83" i="4"/>
  <c r="B202" i="4"/>
  <c r="B262" i="4"/>
  <c r="B198" i="4"/>
  <c r="B197" i="4"/>
  <c r="B205" i="4"/>
  <c r="B194" i="4"/>
  <c r="B208" i="4"/>
  <c r="B156" i="4"/>
  <c r="B204" i="4"/>
  <c r="B129" i="4"/>
  <c r="B261" i="4"/>
  <c r="B298" i="4"/>
  <c r="B196" i="4"/>
  <c r="B263" i="4"/>
  <c r="B207" i="4"/>
  <c r="B195" i="4"/>
  <c r="B203" i="4"/>
  <c r="B209" i="4"/>
  <c r="B199" i="4"/>
  <c r="B201" i="4"/>
  <c r="B210" i="4"/>
  <c r="B193" i="4"/>
  <c r="B206" i="4"/>
  <c r="B200" i="4"/>
  <c r="B55" i="4"/>
  <c r="B17" i="4"/>
  <c r="B141" i="4"/>
  <c r="B149" i="4"/>
  <c r="B132" i="4"/>
  <c r="B131" i="4"/>
  <c r="B130" i="4"/>
  <c r="B133" i="4"/>
  <c r="B134" i="4"/>
  <c r="B135" i="4"/>
  <c r="B121" i="4"/>
  <c r="B67" i="4"/>
  <c r="B71" i="4"/>
  <c r="B70" i="4"/>
  <c r="B69" i="4"/>
  <c r="B73" i="4"/>
  <c r="B251" i="4"/>
  <c r="B41" i="4"/>
  <c r="R14" i="14"/>
  <c r="B64" i="4"/>
  <c r="B2" i="4"/>
  <c r="B3" i="4"/>
  <c r="B19" i="15"/>
  <c r="B20" i="15"/>
  <c r="B21" i="15"/>
  <c r="B22" i="15"/>
  <c r="AC7" i="12"/>
  <c r="AC6" i="12" s="1"/>
  <c r="B220" i="4"/>
  <c r="B281" i="4"/>
  <c r="B285" i="4"/>
  <c r="B248" i="4"/>
  <c r="B78" i="4"/>
  <c r="J31" i="7"/>
  <c r="B75" i="15"/>
  <c r="B32" i="15"/>
  <c r="B80" i="15"/>
  <c r="B14" i="15"/>
  <c r="B107" i="15"/>
  <c r="B24" i="15"/>
  <c r="B25" i="15"/>
  <c r="B28" i="15"/>
  <c r="B38" i="15"/>
  <c r="B26" i="15"/>
  <c r="B31" i="15"/>
  <c r="B27" i="15"/>
  <c r="B73" i="15"/>
  <c r="B83" i="15"/>
  <c r="B84" i="15"/>
  <c r="B89" i="15"/>
  <c r="B85" i="15"/>
  <c r="B241" i="4"/>
  <c r="AB10" i="12"/>
  <c r="AB7" i="12"/>
  <c r="AA8" i="12"/>
  <c r="AA9" i="12"/>
  <c r="Z7" i="12"/>
  <c r="Z9" i="12"/>
  <c r="Y18" i="12"/>
  <c r="AA10" i="12"/>
  <c r="Z8" i="12"/>
  <c r="Z10" i="12"/>
  <c r="Z17" i="12"/>
  <c r="Z16" i="12"/>
  <c r="Q6" i="2"/>
  <c r="AB11" i="12"/>
  <c r="Z15" i="12"/>
  <c r="U374" i="12"/>
  <c r="Z13" i="12" s="1"/>
  <c r="U375" i="12"/>
  <c r="Z14" i="12" s="1"/>
  <c r="T524" i="12"/>
  <c r="U524" i="12" s="1"/>
  <c r="T526" i="12"/>
  <c r="U526" i="12" s="1"/>
  <c r="J43" i="1"/>
  <c r="T523" i="12"/>
  <c r="U523" i="12" s="1"/>
  <c r="T525" i="12"/>
  <c r="U525" i="12" s="1"/>
  <c r="T527" i="12"/>
  <c r="U527" i="12" s="1"/>
  <c r="T354" i="12"/>
  <c r="U354" i="12" s="1"/>
  <c r="Y12" i="12" s="1"/>
  <c r="T352" i="12"/>
  <c r="U352" i="12" s="1"/>
  <c r="Y10" i="12" s="1"/>
  <c r="T350" i="12"/>
  <c r="U350" i="12" s="1"/>
  <c r="Y8" i="12" s="1"/>
  <c r="T338" i="12"/>
  <c r="U338" i="12" s="1"/>
  <c r="T336" i="12"/>
  <c r="U336" i="12" s="1"/>
  <c r="T442" i="12"/>
  <c r="U442" i="12" s="1"/>
  <c r="T353" i="12"/>
  <c r="U353" i="12" s="1"/>
  <c r="Y11" i="12" s="1"/>
  <c r="T351" i="12"/>
  <c r="U351" i="12" s="1"/>
  <c r="Y9" i="12" s="1"/>
  <c r="T339" i="12"/>
  <c r="U339" i="12" s="1"/>
  <c r="T337" i="12"/>
  <c r="U337" i="12" s="1"/>
  <c r="T335" i="12"/>
  <c r="U335" i="12" s="1"/>
  <c r="J32" i="1"/>
  <c r="J12" i="1"/>
  <c r="J28" i="11"/>
  <c r="B204" i="3"/>
  <c r="B203" i="3"/>
  <c r="J22" i="1"/>
  <c r="J42" i="1"/>
  <c r="N8" i="2"/>
  <c r="N11" i="2"/>
  <c r="B33" i="1"/>
  <c r="J31" i="1"/>
  <c r="J5" i="2"/>
  <c r="B202" i="3"/>
  <c r="B163" i="3"/>
  <c r="B164" i="3"/>
  <c r="B162" i="3"/>
  <c r="S53" i="1"/>
  <c r="N14" i="11" s="1"/>
  <c r="R7" i="2"/>
  <c r="R8" i="2"/>
  <c r="J13" i="1"/>
  <c r="J14" i="1"/>
  <c r="V28" i="1"/>
  <c r="V30" i="1"/>
  <c r="P27" i="1"/>
  <c r="P29" i="1"/>
  <c r="V29" i="1"/>
  <c r="V27" i="1"/>
  <c r="P28" i="1"/>
  <c r="P30" i="1"/>
  <c r="I17" i="1"/>
  <c r="J16" i="1"/>
  <c r="J26" i="1"/>
  <c r="J44" i="1"/>
  <c r="Q7" i="2"/>
  <c r="Q8" i="2"/>
  <c r="K53" i="1"/>
  <c r="Z45" i="1" s="1"/>
  <c r="J21" i="1"/>
  <c r="N16" i="11"/>
  <c r="L16" i="11"/>
  <c r="I16" i="11"/>
  <c r="M16" i="11"/>
  <c r="J16" i="11"/>
  <c r="J41" i="1"/>
  <c r="AD37" i="6"/>
  <c r="AD39" i="6"/>
  <c r="AD38" i="6"/>
  <c r="V17" i="1"/>
  <c r="V19" i="1"/>
  <c r="V16" i="1"/>
  <c r="P17" i="1"/>
  <c r="P19" i="1"/>
  <c r="V18" i="1"/>
  <c r="V20" i="1"/>
  <c r="P16" i="1"/>
  <c r="P18" i="1"/>
  <c r="P20" i="1"/>
  <c r="D42" i="3" l="1"/>
  <c r="E63" i="3"/>
  <c r="B289" i="4"/>
  <c r="BJ11" i="2"/>
  <c r="D41" i="3"/>
  <c r="B327" i="4"/>
  <c r="B288" i="4"/>
  <c r="B50" i="3"/>
  <c r="B320" i="4"/>
  <c r="B287" i="4"/>
  <c r="B49" i="3"/>
  <c r="B294" i="4"/>
  <c r="B286" i="4"/>
  <c r="E67" i="3"/>
  <c r="B293" i="4"/>
  <c r="B174" i="4"/>
  <c r="E66" i="3"/>
  <c r="B292" i="4"/>
  <c r="B16" i="4"/>
  <c r="E65" i="3"/>
  <c r="B291" i="4"/>
  <c r="B15" i="4"/>
  <c r="E64" i="3"/>
  <c r="B290" i="4"/>
  <c r="B82" i="15"/>
  <c r="B147" i="4"/>
  <c r="B44" i="15"/>
  <c r="O17" i="14"/>
  <c r="S17" i="14" s="1"/>
  <c r="B86" i="15"/>
  <c r="B11" i="15"/>
  <c r="B106" i="15"/>
  <c r="B98" i="15"/>
  <c r="B215" i="4"/>
  <c r="B65" i="15"/>
  <c r="B23" i="15"/>
  <c r="B92" i="15"/>
  <c r="B18" i="15"/>
  <c r="B153" i="4"/>
  <c r="B67" i="15"/>
  <c r="B85" i="3"/>
  <c r="B83" i="3"/>
  <c r="B84" i="3"/>
  <c r="BJ16" i="2"/>
  <c r="F21" i="14" s="1"/>
  <c r="AB6" i="12"/>
  <c r="I15" i="14" s="1"/>
  <c r="AA6" i="12"/>
  <c r="I14" i="14" s="1"/>
  <c r="Z6" i="12"/>
  <c r="I12" i="14" s="1"/>
  <c r="M14" i="11"/>
  <c r="L14" i="11"/>
  <c r="J30" i="1"/>
  <c r="I14" i="11"/>
  <c r="J14" i="11"/>
  <c r="J29" i="1"/>
  <c r="J27" i="1"/>
  <c r="J28" i="1"/>
  <c r="AC37" i="6"/>
  <c r="Z37" i="6" s="1"/>
  <c r="O37" i="6" s="1"/>
  <c r="AC39" i="6"/>
  <c r="Z39" i="6" s="1"/>
  <c r="O39" i="6" s="1"/>
  <c r="AC38" i="6"/>
  <c r="Z38" i="6" s="1"/>
  <c r="O38" i="6" s="1"/>
  <c r="B5" i="11"/>
  <c r="B7" i="11"/>
  <c r="B8" i="11"/>
  <c r="B9" i="11"/>
  <c r="B10" i="11"/>
  <c r="B11" i="11"/>
  <c r="B4" i="11"/>
  <c r="N4" i="11" s="1"/>
  <c r="T17" i="14" l="1"/>
  <c r="W17" i="14"/>
  <c r="R17" i="14"/>
  <c r="I17" i="14" s="1"/>
  <c r="G10" i="11"/>
  <c r="I10" i="11"/>
  <c r="J10" i="11"/>
  <c r="L10" i="11"/>
  <c r="G11" i="11"/>
  <c r="I11" i="11"/>
  <c r="J11" i="11"/>
  <c r="L11" i="11"/>
  <c r="I8" i="11" l="1"/>
  <c r="J8" i="11"/>
  <c r="L8" i="11"/>
  <c r="I5" i="11"/>
  <c r="I7" i="11"/>
  <c r="I9" i="11"/>
  <c r="I4" i="11"/>
  <c r="L9" i="11"/>
  <c r="J9" i="11"/>
  <c r="G9" i="11"/>
  <c r="L7" i="11"/>
  <c r="J7" i="11"/>
  <c r="G7" i="11"/>
  <c r="L5" i="11"/>
  <c r="J5" i="11"/>
  <c r="G5" i="11"/>
  <c r="L4" i="11"/>
  <c r="G4" i="11"/>
  <c r="J16" i="6" l="1"/>
  <c r="K4" i="9" l="1"/>
  <c r="W15" i="6" l="1"/>
  <c r="T19" i="1" l="1"/>
  <c r="U19" i="1" s="1"/>
  <c r="T20" i="1"/>
  <c r="U20" i="1" s="1"/>
  <c r="N19" i="1" l="1"/>
  <c r="O19" i="1" s="1"/>
  <c r="N20" i="1"/>
  <c r="O20" i="1" s="1"/>
  <c r="N43" i="1" l="1"/>
  <c r="O43" i="1" s="1"/>
  <c r="T43" i="1"/>
  <c r="U43" i="1" s="1"/>
  <c r="N44" i="1"/>
  <c r="O44" i="1" s="1"/>
  <c r="T44" i="1"/>
  <c r="U44" i="1" s="1"/>
  <c r="N45" i="1"/>
  <c r="O45" i="1" s="1"/>
  <c r="T45" i="1"/>
  <c r="U45" i="1" s="1"/>
  <c r="N46" i="1"/>
  <c r="O46" i="1" s="1"/>
  <c r="T46" i="1"/>
  <c r="U46" i="1" s="1"/>
  <c r="W48" i="1" l="1"/>
  <c r="W49" i="1"/>
  <c r="W47" i="1"/>
  <c r="A47" i="1"/>
  <c r="A48" i="1"/>
  <c r="A49" i="1"/>
  <c r="W42" i="1"/>
  <c r="W43" i="1"/>
  <c r="W44" i="1"/>
  <c r="W45" i="1"/>
  <c r="W46" i="1"/>
  <c r="W41" i="1"/>
  <c r="A41" i="1"/>
  <c r="A42" i="1"/>
  <c r="A43" i="1"/>
  <c r="A44" i="1"/>
  <c r="A45" i="1"/>
  <c r="A46" i="1"/>
  <c r="W37" i="1"/>
  <c r="W38" i="1"/>
  <c r="W39" i="1"/>
  <c r="W40" i="1"/>
  <c r="W36" i="1"/>
  <c r="A36" i="1"/>
  <c r="A37" i="1"/>
  <c r="A38" i="1"/>
  <c r="A39" i="1"/>
  <c r="A40" i="1"/>
  <c r="W28" i="1"/>
  <c r="W29" i="1"/>
  <c r="W30" i="1"/>
  <c r="W27" i="1"/>
  <c r="A28" i="1"/>
  <c r="A29" i="1"/>
  <c r="A30" i="1"/>
  <c r="A27" i="1"/>
  <c r="W17" i="1" l="1"/>
  <c r="W18" i="1"/>
  <c r="W19" i="1"/>
  <c r="W20" i="1"/>
  <c r="W16" i="1"/>
  <c r="A17" i="1"/>
  <c r="A18" i="1"/>
  <c r="A19" i="1"/>
  <c r="A20" i="1"/>
  <c r="A16" i="1"/>
  <c r="W13" i="1"/>
  <c r="W14" i="1"/>
  <c r="W15" i="1"/>
  <c r="W12" i="1"/>
  <c r="A12" i="1"/>
  <c r="A13" i="1"/>
  <c r="A14" i="1"/>
  <c r="A15" i="1"/>
  <c r="C53" i="1" l="1"/>
  <c r="H45" i="1"/>
  <c r="I45" i="1" s="1"/>
  <c r="H44" i="1"/>
  <c r="I44" i="1" s="1"/>
  <c r="H43" i="1"/>
  <c r="I43" i="1" s="1"/>
  <c r="T25" i="1"/>
  <c r="U25" i="1" s="1"/>
  <c r="N25" i="1"/>
  <c r="O25" i="1" s="1"/>
  <c r="I25" i="1"/>
  <c r="H48" i="1"/>
  <c r="I48" i="1" s="1"/>
  <c r="N48" i="1"/>
  <c r="O48" i="1" s="1"/>
  <c r="T48" i="1"/>
  <c r="U48" i="1" s="1"/>
  <c r="H49" i="1"/>
  <c r="I49" i="1" s="1"/>
  <c r="N49" i="1"/>
  <c r="O49" i="1" s="1"/>
  <c r="T49" i="1"/>
  <c r="U49" i="1" s="1"/>
  <c r="H42" i="1"/>
  <c r="I42" i="1" s="1"/>
  <c r="N42" i="1"/>
  <c r="O42" i="1" s="1"/>
  <c r="T42" i="1"/>
  <c r="U42" i="1" s="1"/>
  <c r="H46" i="1"/>
  <c r="I46" i="1" s="1"/>
  <c r="H47" i="1"/>
  <c r="I47" i="1" s="1"/>
  <c r="N47" i="1"/>
  <c r="O47" i="1" s="1"/>
  <c r="T47" i="1"/>
  <c r="U47" i="1" s="1"/>
  <c r="H37" i="1"/>
  <c r="I37" i="1" s="1"/>
  <c r="N37" i="1"/>
  <c r="O37" i="1" s="1"/>
  <c r="T37" i="1"/>
  <c r="U37" i="1" s="1"/>
  <c r="H38" i="1"/>
  <c r="I38" i="1" s="1"/>
  <c r="N38" i="1"/>
  <c r="O38" i="1" s="1"/>
  <c r="T38" i="1"/>
  <c r="U38" i="1" s="1"/>
  <c r="H39" i="1"/>
  <c r="I39" i="1" s="1"/>
  <c r="N39" i="1"/>
  <c r="O39" i="1" s="1"/>
  <c r="T39" i="1"/>
  <c r="U39" i="1" s="1"/>
  <c r="H40" i="1"/>
  <c r="I40" i="1" s="1"/>
  <c r="N40" i="1"/>
  <c r="O40" i="1" s="1"/>
  <c r="T40" i="1"/>
  <c r="U40" i="1" s="1"/>
  <c r="H41" i="1"/>
  <c r="I41" i="1" s="1"/>
  <c r="N41" i="1"/>
  <c r="O41" i="1" s="1"/>
  <c r="T41" i="1"/>
  <c r="U41" i="1" s="1"/>
  <c r="T36" i="1"/>
  <c r="U36" i="1" s="1"/>
  <c r="N36" i="1"/>
  <c r="O36" i="1" s="1"/>
  <c r="H36" i="1"/>
  <c r="I36" i="1" s="1"/>
  <c r="H32" i="1"/>
  <c r="I32" i="1" s="1"/>
  <c r="T13" i="1"/>
  <c r="U13" i="1" s="1"/>
  <c r="T14" i="1"/>
  <c r="U14" i="1" s="1"/>
  <c r="T15" i="1"/>
  <c r="U15" i="1" s="1"/>
  <c r="T16" i="1"/>
  <c r="U16" i="1" s="1"/>
  <c r="T17" i="1"/>
  <c r="U17" i="1" s="1"/>
  <c r="T18" i="1"/>
  <c r="U18" i="1" s="1"/>
  <c r="T21" i="1"/>
  <c r="U21" i="1" s="1"/>
  <c r="T22" i="1"/>
  <c r="U22" i="1" s="1"/>
  <c r="T23" i="1"/>
  <c r="U23" i="1" s="1"/>
  <c r="T24" i="1"/>
  <c r="U24" i="1" s="1"/>
  <c r="T26" i="1"/>
  <c r="U26" i="1" s="1"/>
  <c r="T27" i="1"/>
  <c r="U27" i="1" s="1"/>
  <c r="T28" i="1"/>
  <c r="U28" i="1" s="1"/>
  <c r="T29" i="1"/>
  <c r="U29" i="1" s="1"/>
  <c r="T30" i="1"/>
  <c r="U30" i="1" s="1"/>
  <c r="T31" i="1"/>
  <c r="U31" i="1" s="1"/>
  <c r="T12" i="1"/>
  <c r="U12" i="1" s="1"/>
  <c r="N13" i="1"/>
  <c r="O13" i="1" s="1"/>
  <c r="N14" i="1"/>
  <c r="O14" i="1" s="1"/>
  <c r="N15" i="1"/>
  <c r="O15" i="1" s="1"/>
  <c r="N16" i="1"/>
  <c r="O16" i="1" s="1"/>
  <c r="N17" i="1"/>
  <c r="O17" i="1" s="1"/>
  <c r="N18" i="1"/>
  <c r="O18" i="1" s="1"/>
  <c r="N21" i="1"/>
  <c r="O21" i="1" s="1"/>
  <c r="N22" i="1"/>
  <c r="O22" i="1" s="1"/>
  <c r="N23" i="1"/>
  <c r="O23" i="1" s="1"/>
  <c r="N24" i="1"/>
  <c r="O24" i="1" s="1"/>
  <c r="N26" i="1"/>
  <c r="O26" i="1" s="1"/>
  <c r="N27" i="1"/>
  <c r="O27" i="1" s="1"/>
  <c r="N28" i="1"/>
  <c r="O28" i="1" s="1"/>
  <c r="N29" i="1"/>
  <c r="O29" i="1" s="1"/>
  <c r="N30" i="1"/>
  <c r="O30" i="1" s="1"/>
  <c r="N31" i="1"/>
  <c r="O31" i="1" s="1"/>
  <c r="N12" i="1"/>
  <c r="O12" i="1" s="1"/>
  <c r="H12" i="1"/>
  <c r="I12" i="1" s="1"/>
  <c r="H13" i="1"/>
  <c r="I13" i="1" s="1"/>
  <c r="H14" i="1"/>
  <c r="I14" i="1" s="1"/>
  <c r="H15" i="1"/>
  <c r="I15" i="1" s="1"/>
  <c r="H16" i="1"/>
  <c r="I16" i="1" s="1"/>
  <c r="H21" i="1"/>
  <c r="I21" i="1" s="1"/>
  <c r="H22" i="1"/>
  <c r="I22" i="1" s="1"/>
  <c r="H23" i="1"/>
  <c r="I23" i="1" s="1"/>
  <c r="H24" i="1"/>
  <c r="I24" i="1" s="1"/>
  <c r="H26" i="1"/>
  <c r="I26" i="1" s="1"/>
  <c r="H27" i="1"/>
  <c r="I27" i="1" s="1"/>
  <c r="H28" i="1"/>
  <c r="I28" i="1" s="1"/>
  <c r="H29" i="1"/>
  <c r="I29" i="1" s="1"/>
  <c r="H30" i="1"/>
  <c r="I30" i="1" s="1"/>
  <c r="H31" i="1"/>
  <c r="I31" i="1" s="1"/>
  <c r="N21" i="11"/>
  <c r="H25" i="11" s="1"/>
  <c r="E23" i="11" l="1"/>
  <c r="J23" i="11"/>
  <c r="L24" i="11"/>
  <c r="M24" i="11"/>
  <c r="I26" i="11"/>
  <c r="J26" i="11"/>
  <c r="N22" i="11"/>
  <c r="M23" i="11"/>
  <c r="L26" i="11"/>
  <c r="L23" i="11"/>
  <c r="I23" i="11"/>
  <c r="H22" i="11"/>
  <c r="J25" i="11"/>
  <c r="E24" i="11"/>
  <c r="J22" i="11"/>
  <c r="M25" i="11"/>
  <c r="M22" i="11"/>
  <c r="I24" i="11"/>
  <c r="J24" i="11"/>
  <c r="M26" i="11"/>
  <c r="G26" i="11"/>
  <c r="N24" i="11"/>
  <c r="H24" i="11"/>
  <c r="E25" i="11"/>
  <c r="G25" i="11"/>
  <c r="F23" i="11"/>
  <c r="G23" i="11"/>
  <c r="H23" i="11"/>
  <c r="N25" i="11"/>
  <c r="E26" i="11"/>
  <c r="N23" i="11"/>
  <c r="F25" i="11"/>
  <c r="N26" i="11"/>
  <c r="I25" i="11"/>
  <c r="D24" i="11"/>
  <c r="I22" i="11"/>
  <c r="L25" i="11"/>
  <c r="F24" i="11"/>
  <c r="G24" i="11"/>
  <c r="D26" i="11"/>
  <c r="D23" i="11"/>
  <c r="F26" i="11"/>
  <c r="L22" i="11"/>
  <c r="H26" i="11"/>
  <c r="D25" i="11"/>
  <c r="J4" i="11"/>
  <c r="B173" i="3"/>
  <c r="B174" i="3"/>
  <c r="B181" i="3"/>
  <c r="B139" i="3"/>
  <c r="B145" i="3"/>
  <c r="B178" i="3"/>
  <c r="H55" i="12"/>
  <c r="F106" i="12" l="1"/>
  <c r="L106" i="12"/>
  <c r="R106" i="12"/>
  <c r="M106" i="12"/>
  <c r="O106" i="12"/>
  <c r="Q106" i="12"/>
  <c r="S106" i="12"/>
  <c r="N106" i="12"/>
  <c r="P106" i="12"/>
  <c r="B106" i="12"/>
  <c r="B55" i="12"/>
  <c r="G106" i="12"/>
  <c r="H106" i="12"/>
  <c r="I106" i="12"/>
  <c r="J106" i="12"/>
  <c r="I55" i="12"/>
  <c r="J55" i="12"/>
  <c r="K55" i="12"/>
  <c r="C55" i="12"/>
  <c r="D55" i="12"/>
  <c r="K106" i="12"/>
  <c r="C106" i="12"/>
  <c r="D106" i="12"/>
  <c r="E106" i="12"/>
  <c r="E55" i="12"/>
  <c r="F55" i="12"/>
  <c r="G55" i="12"/>
  <c r="T55" i="12" l="1"/>
  <c r="U55" i="12" s="1"/>
  <c r="Y20" i="12" s="1"/>
  <c r="Y6" i="12" s="1"/>
  <c r="I13" i="14" s="1"/>
  <c r="T106" i="12"/>
  <c r="U106" i="12" s="1"/>
  <c r="X13" i="2" s="1"/>
  <c r="X10" i="2" l="1"/>
  <c r="X11" i="2"/>
  <c r="X14" i="2"/>
  <c r="X5" i="2"/>
  <c r="X7" i="2"/>
  <c r="X9" i="2"/>
  <c r="X8" i="2"/>
  <c r="X4" i="2"/>
  <c r="X6" i="2"/>
  <c r="X12" i="2"/>
  <c r="N7" i="2"/>
  <c r="N5" i="2"/>
  <c r="L53" i="1"/>
  <c r="N3" i="2"/>
  <c r="K224" i="7"/>
  <c r="L37" i="6"/>
  <c r="J72" i="7"/>
  <c r="K72" i="7"/>
  <c r="J67" i="7"/>
  <c r="K67" i="7"/>
  <c r="F2" i="7"/>
  <c r="F3" i="7"/>
  <c r="L39" i="6"/>
  <c r="L38" i="6"/>
  <c r="B131" i="3"/>
  <c r="N12" i="2"/>
  <c r="N10" i="2"/>
  <c r="S5" i="6" l="1"/>
  <c r="S6" i="6"/>
  <c r="S7" i="6"/>
  <c r="S8" i="6"/>
  <c r="S9" i="6"/>
  <c r="B88" i="15"/>
  <c r="B321" i="4"/>
  <c r="B58" i="15"/>
  <c r="B102" i="15"/>
  <c r="B283" i="4"/>
  <c r="B216" i="4"/>
  <c r="B323" i="4"/>
  <c r="B254" i="4"/>
  <c r="B305" i="4"/>
  <c r="B303" i="4"/>
  <c r="B8" i="15"/>
  <c r="B36" i="15"/>
  <c r="B316" i="4"/>
  <c r="B104" i="15"/>
  <c r="B232" i="4"/>
  <c r="B12" i="15"/>
  <c r="B275" i="4"/>
  <c r="B304" i="4"/>
  <c r="B243" i="4"/>
  <c r="B56" i="15"/>
  <c r="B65" i="4"/>
  <c r="B272" i="4"/>
  <c r="B109" i="15"/>
  <c r="B10" i="15"/>
  <c r="B306" i="4"/>
  <c r="B244" i="4"/>
  <c r="B60" i="15"/>
  <c r="B79" i="15"/>
  <c r="B227" i="4"/>
  <c r="B255" i="4"/>
  <c r="B279" i="4"/>
  <c r="B63" i="15"/>
  <c r="B64" i="15"/>
  <c r="B247" i="4"/>
  <c r="B295" i="4"/>
  <c r="B225" i="4"/>
  <c r="B280" i="4"/>
  <c r="B234" i="4"/>
  <c r="B90" i="15"/>
  <c r="B269" i="4"/>
  <c r="B223" i="4"/>
  <c r="B250" i="4"/>
  <c r="B47" i="15"/>
  <c r="B253" i="4"/>
  <c r="B249" i="4"/>
  <c r="B111" i="15"/>
  <c r="B239" i="4"/>
  <c r="B81" i="15"/>
  <c r="B328" i="4"/>
  <c r="B49" i="15"/>
  <c r="B218" i="4"/>
  <c r="B228" i="4"/>
  <c r="B93" i="15"/>
  <c r="B41" i="15"/>
  <c r="B276" i="4"/>
  <c r="B219" i="4"/>
  <c r="B51" i="15"/>
  <c r="B312" i="4"/>
  <c r="B302" i="4"/>
  <c r="B235" i="4"/>
  <c r="B69" i="15"/>
  <c r="B307" i="4"/>
  <c r="B91" i="15"/>
  <c r="B112" i="15"/>
  <c r="B101" i="15"/>
  <c r="B66" i="15"/>
  <c r="I16" i="14"/>
  <c r="B4" i="15"/>
  <c r="B313" i="4"/>
  <c r="B16" i="15"/>
  <c r="B296" i="4"/>
  <c r="B233" i="4"/>
  <c r="B33" i="15"/>
  <c r="B319" i="4"/>
  <c r="B61" i="15"/>
  <c r="B95" i="15"/>
  <c r="B59" i="15"/>
  <c r="B3" i="15"/>
  <c r="B94" i="15"/>
  <c r="B9" i="15"/>
  <c r="B42" i="15"/>
  <c r="B238" i="4"/>
  <c r="B72" i="15"/>
  <c r="B273" i="4"/>
  <c r="B236" i="4"/>
  <c r="B54" i="15"/>
  <c r="B96" i="15"/>
  <c r="B30" i="15"/>
  <c r="B43" i="15"/>
  <c r="B99" i="15"/>
  <c r="B240" i="4"/>
  <c r="B299" i="4"/>
  <c r="B70" i="15"/>
  <c r="B29" i="15"/>
  <c r="B270" i="4"/>
  <c r="B15" i="15"/>
  <c r="B274" i="4"/>
  <c r="B71" i="15"/>
  <c r="B62" i="15"/>
  <c r="B7" i="15"/>
  <c r="B277" i="4"/>
  <c r="B78" i="15"/>
  <c r="B309" i="4"/>
  <c r="B237" i="4"/>
  <c r="B55" i="15"/>
  <c r="B100" i="15"/>
  <c r="B68" i="4"/>
  <c r="B74" i="15"/>
  <c r="B13" i="15"/>
  <c r="B35" i="15"/>
  <c r="B17" i="15"/>
  <c r="B265" i="4"/>
  <c r="B103" i="15"/>
  <c r="B2" i="15"/>
  <c r="B105" i="15"/>
  <c r="B39" i="15"/>
  <c r="B310" i="4"/>
  <c r="B229" i="4"/>
  <c r="B113" i="15"/>
  <c r="B57" i="15"/>
  <c r="B108" i="15"/>
  <c r="B222" i="4"/>
  <c r="B308" i="4"/>
  <c r="B40" i="15"/>
  <c r="E6" i="6" l="1"/>
  <c r="R25" i="14"/>
  <c r="P25" i="14"/>
  <c r="N25" i="14"/>
  <c r="M25" i="14"/>
  <c r="R24" i="14"/>
  <c r="P24" i="14"/>
  <c r="N24" i="14"/>
  <c r="M24" i="14"/>
  <c r="R23" i="14"/>
  <c r="P23" i="14"/>
  <c r="N23" i="14"/>
  <c r="M23" i="14"/>
  <c r="R22" i="14"/>
  <c r="E11" i="6"/>
  <c r="L11" i="6"/>
  <c r="E5" i="6"/>
  <c r="M21" i="14"/>
  <c r="N22" i="14"/>
  <c r="M22" i="14"/>
  <c r="P22" i="14"/>
  <c r="P21" i="14"/>
  <c r="N21" i="14"/>
  <c r="R21" i="14"/>
  <c r="E10" i="6"/>
  <c r="L10" i="6"/>
  <c r="E9" i="6"/>
  <c r="L9" i="6"/>
  <c r="E8" i="6"/>
  <c r="L8" i="6"/>
  <c r="E7" i="6"/>
  <c r="L7" i="6"/>
  <c r="L6" i="6"/>
  <c r="L5" i="6"/>
  <c r="L1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BSANG</author>
  </authors>
  <commentList>
    <comment ref="M3" authorId="0" shapeId="0" xr:uid="{00000000-0006-0000-0200-000001000000}">
      <text>
        <r>
          <rPr>
            <b/>
            <sz val="9"/>
            <color indexed="81"/>
            <rFont val="Tahoma"/>
            <family val="2"/>
          </rPr>
          <t>Apaisement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Sylvain Brasseur</author>
  </authors>
  <commentList>
    <comment ref="T1" authorId="0" shapeId="0" xr:uid="{00000000-0006-0000-0700-000001000000}">
      <text>
        <r>
          <rPr>
            <b/>
            <sz val="9"/>
            <color indexed="81"/>
            <rFont val="Tahoma"/>
            <family val="2"/>
          </rPr>
          <t>Pénétration d'Armure (Voir p.93)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Sylvain Brasseur</author>
  </authors>
  <commentList>
    <comment ref="CA2" authorId="0" shapeId="0" xr:uid="{00000000-0006-0000-0C00-000001000000}">
      <text>
        <r>
          <rPr>
            <b/>
            <sz val="9"/>
            <color indexed="81"/>
            <rFont val="Tahoma"/>
            <family val="2"/>
          </rPr>
          <t>Nombre d'heure pour récupérer 1 point.</t>
        </r>
        <r>
          <rPr>
            <sz val="9"/>
            <color indexed="81"/>
            <rFont val="Tahoma"/>
            <family val="2"/>
          </rPr>
          <t xml:space="preserve">
</t>
        </r>
      </text>
    </comment>
  </commentList>
</comments>
</file>

<file path=xl/sharedStrings.xml><?xml version="1.0" encoding="utf-8"?>
<sst xmlns="http://schemas.openxmlformats.org/spreadsheetml/2006/main" count="13134" uniqueCount="5308">
  <si>
    <t>Nom</t>
  </si>
  <si>
    <t>Sexe</t>
  </si>
  <si>
    <t>Taille</t>
  </si>
  <si>
    <t>Age</t>
  </si>
  <si>
    <t>Cheveux</t>
  </si>
  <si>
    <t>Yeux</t>
  </si>
  <si>
    <t>Occupation</t>
  </si>
  <si>
    <t>Statut marital</t>
  </si>
  <si>
    <t>Dés</t>
  </si>
  <si>
    <t>Aptitudes</t>
  </si>
  <si>
    <t>Concentration</t>
  </si>
  <si>
    <t>Perception</t>
  </si>
  <si>
    <t>Astuce</t>
  </si>
  <si>
    <t>Charisme</t>
  </si>
  <si>
    <t>Ame</t>
  </si>
  <si>
    <t>Dextérité</t>
  </si>
  <si>
    <t>Agilité</t>
  </si>
  <si>
    <t>Rapidité</t>
  </si>
  <si>
    <t>Force</t>
  </si>
  <si>
    <t>Vigueur</t>
  </si>
  <si>
    <t>D</t>
  </si>
  <si>
    <t>Connaissances</t>
  </si>
  <si>
    <t>Bonus</t>
  </si>
  <si>
    <t>Détecter</t>
  </si>
  <si>
    <t>Pister</t>
  </si>
  <si>
    <t>Scruter</t>
  </si>
  <si>
    <t>Déguisement</t>
  </si>
  <si>
    <t>Explosifs</t>
  </si>
  <si>
    <t>Carrière</t>
  </si>
  <si>
    <t>Territoires</t>
  </si>
  <si>
    <t>Langues</t>
  </si>
  <si>
    <t>Traits</t>
  </si>
  <si>
    <t>PHYSIQUE (Si pas de compétence résultat du jet de trait/2; Si concnetration similaire SD+2</t>
  </si>
  <si>
    <t>Médecine</t>
  </si>
  <si>
    <t>Science</t>
  </si>
  <si>
    <t>Universalis</t>
  </si>
  <si>
    <t>Bidouiller</t>
  </si>
  <si>
    <t>Bluff</t>
  </si>
  <si>
    <t>Conn. de la rue</t>
  </si>
  <si>
    <t>Dénicher</t>
  </si>
  <si>
    <t>Jeux</t>
  </si>
  <si>
    <t>Survie</t>
  </si>
  <si>
    <t>Ridiculiser</t>
  </si>
  <si>
    <t>Autorité</t>
  </si>
  <si>
    <t>Eloquence</t>
  </si>
  <si>
    <t>Intimider</t>
  </si>
  <si>
    <t>Persuasion</t>
  </si>
  <si>
    <t>Foi</t>
  </si>
  <si>
    <t>Tripes</t>
  </si>
  <si>
    <t>Arc</t>
  </si>
  <si>
    <t>Crocheter</t>
  </si>
  <si>
    <t>Dérober</t>
  </si>
  <si>
    <t>Passe-passe</t>
  </si>
  <si>
    <t>Ventiler</t>
  </si>
  <si>
    <t>Lancer</t>
  </si>
  <si>
    <t>Recharge rapide</t>
  </si>
  <si>
    <t>Tirer</t>
  </si>
  <si>
    <t>Attelage</t>
  </si>
  <si>
    <t>Equitation</t>
  </si>
  <si>
    <t>Esquiver</t>
  </si>
  <si>
    <t>Furtivité</t>
  </si>
  <si>
    <t>Grimper</t>
  </si>
  <si>
    <t>Nager</t>
  </si>
  <si>
    <t>Combat</t>
  </si>
  <si>
    <t>Conduire</t>
  </si>
  <si>
    <t>Dégainer</t>
  </si>
  <si>
    <t>Sert à résister aux dégâts dans les jets d'étroudissement et d'encaissement</t>
  </si>
  <si>
    <t>Trempe: donne un bonus de +1 sur le jet de tripes pour chaque horreur combatue</t>
  </si>
  <si>
    <t>Artillerie</t>
  </si>
  <si>
    <t>Arts</t>
  </si>
  <si>
    <t>Dressage</t>
  </si>
  <si>
    <t>Spectacle</t>
  </si>
  <si>
    <t>Canons</t>
  </si>
  <si>
    <t>Fusées</t>
  </si>
  <si>
    <t>Gatlings</t>
  </si>
  <si>
    <t>Peinture</t>
  </si>
  <si>
    <t>Dessin</t>
  </si>
  <si>
    <t>Scupture</t>
  </si>
  <si>
    <t>Chirurgie</t>
  </si>
  <si>
    <t>Générale</t>
  </si>
  <si>
    <t>Vétérinaire</t>
  </si>
  <si>
    <t>Médicolégale</t>
  </si>
  <si>
    <t>Anglais</t>
  </si>
  <si>
    <t>Français</t>
  </si>
  <si>
    <t>Chinois</t>
  </si>
  <si>
    <t>Espagnol</t>
  </si>
  <si>
    <t>Portugais</t>
  </si>
  <si>
    <t>Japonais</t>
  </si>
  <si>
    <t>Arabe</t>
  </si>
  <si>
    <t>Allemand</t>
  </si>
  <si>
    <t>Métiers</t>
  </si>
  <si>
    <t>Physique</t>
  </si>
  <si>
    <t>Mécanique</t>
  </si>
  <si>
    <t>Philosophie</t>
  </si>
  <si>
    <t>Occultisme</t>
  </si>
  <si>
    <t>Histoire</t>
  </si>
  <si>
    <t>Théologie</t>
  </si>
  <si>
    <t>Désert</t>
  </si>
  <si>
    <t>Montagne</t>
  </si>
  <si>
    <t>Chiens</t>
  </si>
  <si>
    <t>Chevaux</t>
  </si>
  <si>
    <t>Comédie</t>
  </si>
  <si>
    <t>Chant</t>
  </si>
  <si>
    <t>Danse</t>
  </si>
  <si>
    <t>Haches</t>
  </si>
  <si>
    <t>Lances</t>
  </si>
  <si>
    <t>Couteaux</t>
  </si>
  <si>
    <t>Pistolet</t>
  </si>
  <si>
    <t>Shotgun</t>
  </si>
  <si>
    <t>Automatiques</t>
  </si>
  <si>
    <t>Lance-flamme</t>
  </si>
  <si>
    <t>Fusil</t>
  </si>
  <si>
    <t>Boxe</t>
  </si>
  <si>
    <t>Escrime</t>
  </si>
  <si>
    <t>Lasso</t>
  </si>
  <si>
    <t>Sabre</t>
  </si>
  <si>
    <t>Bagarre</t>
  </si>
  <si>
    <t>Couteau</t>
  </si>
  <si>
    <t>Fouet</t>
  </si>
  <si>
    <t>Arts Martiaux</t>
  </si>
  <si>
    <t>Inst. Musique</t>
  </si>
  <si>
    <t>Marais</t>
  </si>
  <si>
    <t>Mer</t>
  </si>
  <si>
    <t>Jungle</t>
  </si>
  <si>
    <t>Sous-terre</t>
  </si>
  <si>
    <t>Pôles</t>
  </si>
  <si>
    <t>Stomatologie</t>
  </si>
  <si>
    <t>Bateau</t>
  </si>
  <si>
    <t>Wagon-vapeur</t>
  </si>
  <si>
    <t>Ornithoptère</t>
  </si>
  <si>
    <t>Epée</t>
  </si>
  <si>
    <t>Cuba</t>
  </si>
  <si>
    <t>Haiti</t>
  </si>
  <si>
    <t>Portugal</t>
  </si>
  <si>
    <t>Japan</t>
  </si>
  <si>
    <t>Hindi</t>
  </si>
  <si>
    <t>Bengali</t>
  </si>
  <si>
    <t>Russe</t>
  </si>
  <si>
    <t>Ourdou</t>
  </si>
  <si>
    <t>Psychiatrie</t>
  </si>
  <si>
    <t>Artistique</t>
  </si>
  <si>
    <t>Militaire</t>
  </si>
  <si>
    <t>Commerciale</t>
  </si>
  <si>
    <t>Médicale</t>
  </si>
  <si>
    <t>Scientifique</t>
  </si>
  <si>
    <t>Financière</t>
  </si>
  <si>
    <t>Agricole</t>
  </si>
  <si>
    <t>Transports</t>
  </si>
  <si>
    <t>Sociale</t>
  </si>
  <si>
    <t>Politique</t>
  </si>
  <si>
    <t>Droit légal</t>
  </si>
  <si>
    <t>Ki</t>
  </si>
  <si>
    <t>Informations personelles</t>
  </si>
  <si>
    <t>Masculin</t>
  </si>
  <si>
    <t>Féminin</t>
  </si>
  <si>
    <t>Indéterminé</t>
  </si>
  <si>
    <t>Eunuque</t>
  </si>
  <si>
    <t>Hermaphrodite</t>
  </si>
  <si>
    <t>Blond cendré</t>
  </si>
  <si>
    <t>Paille</t>
  </si>
  <si>
    <t>Blond</t>
  </si>
  <si>
    <t>Auburn</t>
  </si>
  <si>
    <t>Roux</t>
  </si>
  <si>
    <t>Châtain clair</t>
  </si>
  <si>
    <t>Châtain</t>
  </si>
  <si>
    <t>Brun</t>
  </si>
  <si>
    <t>Noir</t>
  </si>
  <si>
    <t>Chauve</t>
  </si>
  <si>
    <t>Gris clair</t>
  </si>
  <si>
    <t>Gris-bleu</t>
  </si>
  <si>
    <t>Cuivre</t>
  </si>
  <si>
    <t>Marron clair</t>
  </si>
  <si>
    <t>Marron foncé</t>
  </si>
  <si>
    <t>Mauve</t>
  </si>
  <si>
    <t>1,65m</t>
  </si>
  <si>
    <t>1,70m</t>
  </si>
  <si>
    <t>1,75m</t>
  </si>
  <si>
    <t>1,80m</t>
  </si>
  <si>
    <t>1,85m</t>
  </si>
  <si>
    <t>1,60m</t>
  </si>
  <si>
    <t>1,50m</t>
  </si>
  <si>
    <t>2,00m</t>
  </si>
  <si>
    <t>1,90m</t>
  </si>
  <si>
    <t>1,57m</t>
  </si>
  <si>
    <t>1,62m</t>
  </si>
  <si>
    <t>1,67m</t>
  </si>
  <si>
    <t>1,72m</t>
  </si>
  <si>
    <t>1,77m</t>
  </si>
  <si>
    <t>1,82m</t>
  </si>
  <si>
    <t>1,87m</t>
  </si>
  <si>
    <t>1,92m</t>
  </si>
  <si>
    <t>1,95m</t>
  </si>
  <si>
    <t>1,97m</t>
  </si>
  <si>
    <t>2,02m</t>
  </si>
  <si>
    <t>2,05m</t>
  </si>
  <si>
    <t>2,07m</t>
  </si>
  <si>
    <t>2,10m</t>
  </si>
  <si>
    <t>1,47m</t>
  </si>
  <si>
    <t>1,45m</t>
  </si>
  <si>
    <t>1,42m</t>
  </si>
  <si>
    <t>2,12m</t>
  </si>
  <si>
    <t>2,15m</t>
  </si>
  <si>
    <t>2,17m</t>
  </si>
  <si>
    <t>2,20m</t>
  </si>
  <si>
    <t>Bleu clair</t>
  </si>
  <si>
    <t>Bleu foncé</t>
  </si>
  <si>
    <t>Vert clair</t>
  </si>
  <si>
    <t>Vert foncé</t>
  </si>
  <si>
    <t>Rouge</t>
  </si>
  <si>
    <t>Blanc</t>
  </si>
  <si>
    <t>Célibataire</t>
  </si>
  <si>
    <t>En couple</t>
  </si>
  <si>
    <t>Concubinage</t>
  </si>
  <si>
    <t>Total de souffle</t>
  </si>
  <si>
    <t>Coût</t>
  </si>
  <si>
    <t>Source</t>
  </si>
  <si>
    <t>Couinement</t>
  </si>
  <si>
    <t>Crise de Foi légère</t>
  </si>
  <si>
    <t>Crise de Foi sévère</t>
  </si>
  <si>
    <t>Damné</t>
  </si>
  <si>
    <t>Dèche</t>
  </si>
  <si>
    <t>Ambition démesurée</t>
  </si>
  <si>
    <t>Ambition modeste</t>
  </si>
  <si>
    <t>Ambition moyenne</t>
  </si>
  <si>
    <t>Ambition forte</t>
  </si>
  <si>
    <t>Ambition douce</t>
  </si>
  <si>
    <t>Ennemi (très rare ou très faible)</t>
  </si>
  <si>
    <t>Ennemi (très courant ou très fort)</t>
  </si>
  <si>
    <t>Ennemi (rare ou faible)</t>
  </si>
  <si>
    <t>Ennemi (moyen)</t>
  </si>
  <si>
    <t>Ennemi (courant ou fort)</t>
  </si>
  <si>
    <t>Fanatique</t>
  </si>
  <si>
    <t>Focalisation (faible)</t>
  </si>
  <si>
    <t>Focalisation (moyen)</t>
  </si>
  <si>
    <t>Focalisation (fort)</t>
  </si>
  <si>
    <t>Gros Tas (Obèse)</t>
  </si>
  <si>
    <t>Héroïque</t>
  </si>
  <si>
    <t>Hors-la-loi (sur tout le continent)</t>
  </si>
  <si>
    <t>Hors-la-loi (un état)</t>
  </si>
  <si>
    <t>Hors-la-loi (plusieurs états)</t>
  </si>
  <si>
    <t>Hors-la-loi (tous les états)</t>
  </si>
  <si>
    <t>Hors-la-loi (un comté)</t>
  </si>
  <si>
    <t>Identité secrète</t>
  </si>
  <si>
    <t>Mauvais Karma</t>
  </si>
  <si>
    <t>Méprisant</t>
  </si>
  <si>
    <t>Obligation (peu contraignante)</t>
  </si>
  <si>
    <t>Obligation (contraignante)</t>
  </si>
  <si>
    <t>Obligation (très contraignante)</t>
  </si>
  <si>
    <t>Obligation (très dérangeante)</t>
  </si>
  <si>
    <t>Obligation (mortelle)</t>
  </si>
  <si>
    <t>Pacifiste (N'aime pas tuer)</t>
  </si>
  <si>
    <t>Pacifiste (Ne tue jamais)</t>
  </si>
  <si>
    <t>Pied Tendre</t>
  </si>
  <si>
    <t>Sanguinaire</t>
  </si>
  <si>
    <t>Serment (peu contraignant)</t>
  </si>
  <si>
    <t>Serment  (contraignant)</t>
  </si>
  <si>
    <t>Serment (très contraignant)</t>
  </si>
  <si>
    <t>Serment (très dérangeant)</t>
  </si>
  <si>
    <t>Serment (mortel)</t>
  </si>
  <si>
    <t>Sifu! Sifu! (rarement)</t>
  </si>
  <si>
    <t>Sifu! Sifu! (constamment)</t>
  </si>
  <si>
    <t>Sifu! Sifu!</t>
  </si>
  <si>
    <t>Vulnérabilité Spécifique (un style)</t>
  </si>
  <si>
    <t>Pré-requis</t>
  </si>
  <si>
    <t>Ambidextre</t>
  </si>
  <si>
    <t>Conscience</t>
  </si>
  <si>
    <t>Don des langues</t>
  </si>
  <si>
    <t>Esprit vif</t>
  </si>
  <si>
    <t>Familier</t>
  </si>
  <si>
    <t>Illumination</t>
  </si>
  <si>
    <t>Mœurs locales</t>
  </si>
  <si>
    <t>Mœurs locales (culture étrangère)</t>
  </si>
  <si>
    <t>Money, Money (outrageusement riche)</t>
  </si>
  <si>
    <t>Money, Money (petit riche)</t>
  </si>
  <si>
    <t>Money, Money (riche)</t>
  </si>
  <si>
    <t>Money, Money (très riche)</t>
  </si>
  <si>
    <t>Money, Money (extrêmement riche)</t>
  </si>
  <si>
    <t>Nerfs d'acier</t>
  </si>
  <si>
    <t>Oeuil de lynx</t>
  </si>
  <si>
    <t>Oreille fine</t>
  </si>
  <si>
    <t>Petit prodige</t>
  </si>
  <si>
    <t>Regard d'acier</t>
  </si>
  <si>
    <t>Saint office (prêtre, ancien)</t>
  </si>
  <si>
    <t>Saint office (archevêque, lama)</t>
  </si>
  <si>
    <t>Saint office (cardinal)</t>
  </si>
  <si>
    <t>Sens de l'orientation</t>
  </si>
  <si>
    <t>Sommeil léger</t>
  </si>
  <si>
    <t>Solide comme un roc (très faible)</t>
  </si>
  <si>
    <t>Solide comme un roc (faible)</t>
  </si>
  <si>
    <t>Solide comme un roc (moyen)</t>
  </si>
  <si>
    <t>Solide comme un roc (fort)</t>
  </si>
  <si>
    <t>Solide comme un roc (très fort)</t>
  </si>
  <si>
    <t>Tête froide</t>
  </si>
  <si>
    <t>Vétéran du Weird West</t>
  </si>
  <si>
    <t>Don: Bâtard</t>
  </si>
  <si>
    <t>Don: Enfant du corbeau</t>
  </si>
  <si>
    <t>Don: Le souffle de la mort</t>
  </si>
  <si>
    <t>Don: Lien avec la nature</t>
  </si>
  <si>
    <t>Don: Septième Enfant</t>
  </si>
  <si>
    <t>Ethnie</t>
  </si>
  <si>
    <t>Signe Distinctif</t>
  </si>
  <si>
    <t>Indien</t>
  </si>
  <si>
    <t>Canadien</t>
  </si>
  <si>
    <t>Mexicain</t>
  </si>
  <si>
    <t>Asiatique</t>
  </si>
  <si>
    <t>Européen</t>
  </si>
  <si>
    <t>Africain noir</t>
  </si>
  <si>
    <t>Détérré</t>
  </si>
  <si>
    <t>Balte/Russe</t>
  </si>
  <si>
    <t>Signes Distinctifs</t>
  </si>
  <si>
    <t>Yeux injectés de sang</t>
  </si>
  <si>
    <t>Verrue</t>
  </si>
  <si>
    <t>Traits marqués</t>
  </si>
  <si>
    <t>Toux préoccupante</t>
  </si>
  <si>
    <t>Tic nerveux</t>
  </si>
  <si>
    <t>Strabisme</t>
  </si>
  <si>
    <t>Sourcil(s) manquant(s)</t>
  </si>
  <si>
    <t>Rougeaud</t>
  </si>
  <si>
    <t>Regard insolite</t>
  </si>
  <si>
    <t>Poireau (grain de beauté)</t>
  </si>
  <si>
    <t>Peau qui pèle</t>
  </si>
  <si>
    <t>Oreille abîmée</t>
  </si>
  <si>
    <t>Ongle en moins</t>
  </si>
  <si>
    <t>Odeur bizarre</t>
  </si>
  <si>
    <t>Nez qui coule</t>
  </si>
  <si>
    <t>Nez cassé</t>
  </si>
  <si>
    <t>Marques de vérole</t>
  </si>
  <si>
    <t>Marques de brûlures</t>
  </si>
  <si>
    <t>Mains palmées</t>
  </si>
  <si>
    <t>Lèvres gercées</t>
  </si>
  <si>
    <t>Incisives saillantes</t>
  </si>
  <si>
    <t>Haleine de chacal</t>
  </si>
  <si>
    <t>Gros nez</t>
  </si>
  <si>
    <t>Grand pieds</t>
  </si>
  <si>
    <t>Doigt en moins</t>
  </si>
  <si>
    <t>Dentition crasseuse</t>
  </si>
  <si>
    <t>Dent en moins</t>
  </si>
  <si>
    <t>Démarche atypique</t>
  </si>
  <si>
    <t>Crade</t>
  </si>
  <si>
    <t>Cou couvert de boutons</t>
  </si>
  <si>
    <t>Conjonctivite</t>
  </si>
  <si>
    <t>Calvitie très localisée</t>
  </si>
  <si>
    <t>Boucle d'oreille</t>
  </si>
  <si>
    <t>Bave</t>
  </si>
  <si>
    <t>Balafre</t>
  </si>
  <si>
    <t>Anneau nasal/piercing</t>
  </si>
  <si>
    <t>Allergique</t>
  </si>
  <si>
    <t>Acné prononcée</t>
  </si>
  <si>
    <t>Couleur étrange d'un œil</t>
  </si>
  <si>
    <t>Tatouage facial</t>
  </si>
  <si>
    <t>Tatouage sur le bras</t>
  </si>
  <si>
    <t>Italien</t>
  </si>
  <si>
    <t>Atouts</t>
  </si>
  <si>
    <t>Handicaps</t>
  </si>
  <si>
    <t>Matériel</t>
  </si>
  <si>
    <t>Sur soi</t>
  </si>
  <si>
    <t>Poids</t>
  </si>
  <si>
    <t>Fontes</t>
  </si>
  <si>
    <t>Autre</t>
  </si>
  <si>
    <t>Charges</t>
  </si>
  <si>
    <t>Charge</t>
  </si>
  <si>
    <t>Allure</t>
  </si>
  <si>
    <t>Légère</t>
  </si>
  <si>
    <t>Moyenne</t>
  </si>
  <si>
    <t>Lourde</t>
  </si>
  <si>
    <t>Argent</t>
  </si>
  <si>
    <t>Banque</t>
  </si>
  <si>
    <t>Cash</t>
  </si>
  <si>
    <t xml:space="preserve">Armes </t>
  </si>
  <si>
    <t xml:space="preserve">vit. </t>
  </si>
  <si>
    <t xml:space="preserve">Portée </t>
  </si>
  <si>
    <t xml:space="preserve">Dég </t>
  </si>
  <si>
    <t xml:space="preserve">Cam </t>
  </si>
  <si>
    <t>Année</t>
  </si>
  <si>
    <t xml:space="preserve"> Prix</t>
  </si>
  <si>
    <t xml:space="preserve"> Notes</t>
  </si>
  <si>
    <t>Domm.</t>
  </si>
  <si>
    <t xml:space="preserve">calib. </t>
  </si>
  <si>
    <t>Colt Army</t>
  </si>
  <si>
    <t>Colt Army-Thuer</t>
  </si>
  <si>
    <t xml:space="preserve">Colt Buntline Special </t>
  </si>
  <si>
    <t>.45</t>
  </si>
  <si>
    <t>Colt Dragoon</t>
  </si>
  <si>
    <t>Colt Dragoon n°3</t>
  </si>
  <si>
    <t xml:space="preserve">Colt Navy (revolver) </t>
  </si>
  <si>
    <t>.36</t>
  </si>
  <si>
    <t>2d6</t>
  </si>
  <si>
    <t>2d4</t>
  </si>
  <si>
    <t>Colt Old-Line</t>
  </si>
  <si>
    <t>Colt Open Top</t>
  </si>
  <si>
    <t>Colt Open Top (pocket)</t>
  </si>
  <si>
    <t>.22</t>
  </si>
  <si>
    <t xml:space="preserve">2d4 </t>
  </si>
  <si>
    <t xml:space="preserve">Colt Paterson modèle Belt </t>
  </si>
  <si>
    <t>.31</t>
  </si>
  <si>
    <t>Colt Peacemaker</t>
  </si>
  <si>
    <t>Type</t>
  </si>
  <si>
    <t>Arme</t>
  </si>
  <si>
    <t>Pistolet simple action</t>
  </si>
  <si>
    <t>Colt Police</t>
  </si>
  <si>
    <t xml:space="preserve">Colt Walker </t>
  </si>
  <si>
    <t xml:space="preserve">.44 </t>
  </si>
  <si>
    <t xml:space="preserve">Forehand &amp; Wadsworth </t>
  </si>
  <si>
    <t xml:space="preserve">.44R </t>
  </si>
  <si>
    <t xml:space="preserve">Knuckle-Duster de W. Irving </t>
  </si>
  <si>
    <t xml:space="preserve">.32 </t>
  </si>
  <si>
    <t xml:space="preserve">LeMat Grapeshot (pistolet) </t>
  </si>
  <si>
    <t>.40</t>
  </si>
  <si>
    <t xml:space="preserve">LeMat Grapeshot (pistolet &amp; shotgun) </t>
  </si>
  <si>
    <t>.44</t>
  </si>
  <si>
    <t>.30</t>
  </si>
  <si>
    <t>.38</t>
  </si>
  <si>
    <t xml:space="preserve">.36 </t>
  </si>
  <si>
    <t>.42</t>
  </si>
  <si>
    <t>0.16</t>
  </si>
  <si>
    <t xml:space="preserve">Merwin Hulbert Army </t>
  </si>
  <si>
    <t>.44-40</t>
  </si>
  <si>
    <t xml:space="preserve">2d6 </t>
  </si>
  <si>
    <t>.41</t>
  </si>
  <si>
    <t>Pistolet à répétition Volcanic</t>
  </si>
  <si>
    <t>Levier</t>
  </si>
  <si>
    <t>Pistolet/ carabine Volcanic</t>
  </si>
  <si>
    <t xml:space="preserve">Poing américain W. Irving </t>
  </si>
  <si>
    <t xml:space="preserve">Remington Army </t>
  </si>
  <si>
    <t>Remington-Beals (pocket)</t>
  </si>
  <si>
    <t xml:space="preserve">.31 </t>
  </si>
  <si>
    <t xml:space="preserve">Remington Navy </t>
  </si>
  <si>
    <t>.50</t>
  </si>
  <si>
    <t>.46</t>
  </si>
  <si>
    <t>Revolver Adams</t>
  </si>
  <si>
    <t>Revolver Augusta</t>
  </si>
  <si>
    <t>Revolver Freeman Army</t>
  </si>
  <si>
    <t>Revolver Kerr’s Patent</t>
  </si>
  <si>
    <t>Revolver Leech &amp; Rigdon</t>
  </si>
  <si>
    <t>Roger &amp; Spencer Army</t>
  </si>
  <si>
    <t>Savage &amp; North Navy</t>
  </si>
  <si>
    <t xml:space="preserve"> .36</t>
  </si>
  <si>
    <t>Smith et Wesson n°1</t>
  </si>
  <si>
    <t>Smith et Wesson n°2</t>
  </si>
  <si>
    <t>Smith et Wesson n°3</t>
  </si>
  <si>
    <t>Smith et Wesson n°4</t>
  </si>
  <si>
    <t>Smith et Wesson Baby Russian</t>
  </si>
  <si>
    <t>Smith et Wesson Russian</t>
  </si>
  <si>
    <t>.32</t>
  </si>
  <si>
    <t>Smith et Wesson Schofield</t>
  </si>
  <si>
    <t>Wesson &amp; Leavitt (pocket)</t>
  </si>
  <si>
    <t>A Ruban</t>
  </si>
  <si>
    <t>Pistolet double action</t>
  </si>
  <si>
    <t>Colt Frontier</t>
  </si>
  <si>
    <t>.32-20</t>
  </si>
  <si>
    <t>Colt Lightning</t>
  </si>
  <si>
    <t>Colt Thunderer</t>
  </si>
  <si>
    <t>Cooper Navy</t>
  </si>
  <si>
    <t>Merwin Hulbert (pocket)</t>
  </si>
  <si>
    <t>Pettengill Army</t>
  </si>
  <si>
    <t>Revolver Starr</t>
  </si>
  <si>
    <t>Smith &amp; Wesson double action</t>
  </si>
  <si>
    <t>Smith et Wesson Frontier</t>
  </si>
  <si>
    <t>Derringers et Pepperboxes</t>
  </si>
  <si>
    <t>Colt Derringer</t>
  </si>
  <si>
    <t>Derringer</t>
  </si>
  <si>
    <t>Derringer double Remington</t>
  </si>
  <si>
    <t>Derringer Remington-Eliot</t>
  </si>
  <si>
    <t>Pepperbox americain</t>
  </si>
  <si>
    <t>Derringer Sharps</t>
  </si>
  <si>
    <t>.34</t>
  </si>
  <si>
    <t>SA</t>
  </si>
  <si>
    <t>DA</t>
  </si>
  <si>
    <t>Pepperbox R&amp;L</t>
  </si>
  <si>
    <t>Pepperbox Rupertus</t>
  </si>
  <si>
    <t>Pistolet Chuchu</t>
  </si>
  <si>
    <t>Pistolet « de paume »</t>
  </si>
  <si>
    <t>Pistolet Marston</t>
  </si>
  <si>
    <t>Pistolet-dague Wesson</t>
  </si>
  <si>
    <t>Remington Rider</t>
  </si>
  <si>
    <t>Fusils et Carabines</t>
  </si>
  <si>
    <t>Ballard ‘72</t>
  </si>
  <si>
    <t>Carabine LeMat</t>
  </si>
  <si>
    <t>Carabine Sharps 1855</t>
  </si>
  <si>
    <t>Evans Sporter ancien modèle</t>
  </si>
  <si>
    <t>Fusil Colt Paterson modèle 1836</t>
  </si>
  <si>
    <t>Fusil Sharps 1859</t>
  </si>
  <si>
    <t>Fusil Sharps 1869</t>
  </si>
  <si>
    <t>Fusil Sharps 1874</t>
  </si>
  <si>
    <t>Fusil à répétition Colt Lightning</t>
  </si>
  <si>
    <t>Fusil à barillet Colt</t>
  </si>
  <si>
    <t>Fusil à répétition Henry</t>
  </si>
  <si>
    <t>Fusil à répétition Hotchkiss</t>
  </si>
  <si>
    <t>Remington modèle 1871</t>
  </si>
  <si>
    <t>Sharps Big 50</t>
  </si>
  <si>
    <t>Springfield .58 (par le canon)</t>
  </si>
  <si>
    <t>US modèle 1822</t>
  </si>
  <si>
    <t>US modèle 1842</t>
  </si>
  <si>
    <t>US modèle 1855</t>
  </si>
  <si>
    <t>Whitworth</t>
  </si>
  <si>
    <t>Winchester ’66</t>
  </si>
  <si>
    <t>Winchester ’73</t>
  </si>
  <si>
    <t>Winchester ’76</t>
  </si>
  <si>
    <t>Shotguns</t>
  </si>
  <si>
    <t>.56</t>
  </si>
  <si>
    <t>4d10</t>
  </si>
  <si>
    <t>16ca</t>
  </si>
  <si>
    <t>.57</t>
  </si>
  <si>
    <t>.52</t>
  </si>
  <si>
    <t>Perc.</t>
  </si>
  <si>
    <t>.56-50</t>
  </si>
  <si>
    <t>Lev. Perc.</t>
  </si>
  <si>
    <t>.44E</t>
  </si>
  <si>
    <t>.69</t>
  </si>
  <si>
    <t>.58</t>
  </si>
  <si>
    <t xml:space="preserve">.52 </t>
  </si>
  <si>
    <t>.60</t>
  </si>
  <si>
    <t>Culasse</t>
  </si>
  <si>
    <t>.45-70</t>
  </si>
  <si>
    <t>CL</t>
  </si>
  <si>
    <t>.50-70</t>
  </si>
  <si>
    <t>.45-47</t>
  </si>
  <si>
    <t>Scattergun</t>
  </si>
  <si>
    <t>Shotgun à barillet Colt</t>
  </si>
  <si>
    <t>Lance-flammes</t>
  </si>
  <si>
    <t>Mitrailleuse Gatling</t>
  </si>
  <si>
    <t>Pistolet Gatling</t>
  </si>
  <si>
    <t>-</t>
  </si>
  <si>
    <t>1d6</t>
  </si>
  <si>
    <t>Imp.</t>
  </si>
  <si>
    <t>Tir/Lancer</t>
  </si>
  <si>
    <t>Arc à flèche</t>
  </si>
  <si>
    <t>Bolas</t>
  </si>
  <si>
    <t>Lance lancée</t>
  </si>
  <si>
    <t>Tomahawk lancé</t>
  </si>
  <si>
    <t>Dynamite (1 cartouche)</t>
  </si>
  <si>
    <t>Corps à corps</t>
  </si>
  <si>
    <t>Arme Chinoise</t>
  </si>
  <si>
    <t>Poing</t>
  </si>
  <si>
    <t>Poing américain</t>
  </si>
  <si>
    <t>Crosse de pistolet, bouteille, chaise</t>
  </si>
  <si>
    <t>Gros gourdin, crosse de fusil</t>
  </si>
  <si>
    <t xml:space="preserve">Couteau  </t>
  </si>
  <si>
    <t>Bowie knife</t>
  </si>
  <si>
    <t>Lance</t>
  </si>
  <si>
    <t>Rapière</t>
  </si>
  <si>
    <t>Sabre de cavalerie</t>
  </si>
  <si>
    <t>Bâton (1,5m)</t>
  </si>
  <si>
    <t>Bâton (3m)</t>
  </si>
  <si>
    <t>Croissant volant</t>
  </si>
  <si>
    <t>Epée chinoise</t>
  </si>
  <si>
    <t>Guillotine volante</t>
  </si>
  <si>
    <t>Griffe volante</t>
  </si>
  <si>
    <t>CDT/ Def</t>
  </si>
  <si>
    <t>CàC</t>
  </si>
  <si>
    <t>Spécial</t>
  </si>
  <si>
    <t>vitesse</t>
  </si>
  <si>
    <t>Total possessions</t>
  </si>
  <si>
    <t>Munitions</t>
  </si>
  <si>
    <t>Poudre et billes de plomb X25</t>
  </si>
  <si>
    <t>Amorces X60</t>
  </si>
  <si>
    <t>Cartouches de shotgun X20</t>
  </si>
  <si>
    <t>Flèches X20</t>
  </si>
  <si>
    <t>Barillet supplémentaire</t>
  </si>
  <si>
    <t>Ruban Maynard de 24 coups</t>
  </si>
  <si>
    <t>Chevrotine lourde X20</t>
  </si>
  <si>
    <t>Vêtements</t>
  </si>
  <si>
    <t>Chemise de travail/Blouse</t>
  </si>
  <si>
    <t>Costume / robe</t>
  </si>
  <si>
    <t>Photographie</t>
  </si>
  <si>
    <t>Jambières ( « chaps » )</t>
  </si>
  <si>
    <t>Sac de couchage</t>
  </si>
  <si>
    <t>Bottes</t>
  </si>
  <si>
    <t>Appareil photo</t>
  </si>
  <si>
    <t>Chaussures</t>
  </si>
  <si>
    <t>Pantalons / jupe</t>
  </si>
  <si>
    <t>Gamelle</t>
  </si>
  <si>
    <t>Plaque photographique</t>
  </si>
  <si>
    <t>Caleçon long ( « Long johns » )</t>
  </si>
  <si>
    <t>Cigare</t>
  </si>
  <si>
    <t>Bas de soie</t>
  </si>
  <si>
    <t>Détonateur</t>
  </si>
  <si>
    <t xml:space="preserve">Manteau cache -poussière </t>
  </si>
  <si>
    <t>Mèche</t>
  </si>
  <si>
    <t>Manteau d’hiver</t>
  </si>
  <si>
    <t>Lunettes</t>
  </si>
  <si>
    <t>Chapeaux</t>
  </si>
  <si>
    <t>Derby</t>
  </si>
  <si>
    <t>Stetson</t>
  </si>
  <si>
    <t>Fedora</t>
  </si>
  <si>
    <t>Sombrero</t>
  </si>
  <si>
    <t>Bonnet</t>
  </si>
  <si>
    <t>Ration de route (par jour)</t>
  </si>
  <si>
    <t>Nourriture</t>
  </si>
  <si>
    <t>Café (une livre)</t>
  </si>
  <si>
    <t>Bacon (une livre)</t>
  </si>
  <si>
    <t>Alcool de luxe (bouteille)</t>
  </si>
  <si>
    <t>Hache</t>
  </si>
  <si>
    <t>Lime</t>
  </si>
  <si>
    <t>Guitare</t>
  </si>
  <si>
    <t>Marteau</t>
  </si>
  <si>
    <t>Menottes</t>
  </si>
  <si>
    <t>Harmonica</t>
  </si>
  <si>
    <t>Hachette</t>
  </si>
  <si>
    <t>Lanterne</t>
  </si>
  <si>
    <t>Huile pour lanterne (litre)</t>
  </si>
  <si>
    <t>Poelle</t>
  </si>
  <si>
    <t>Allumettes (boite de 100)</t>
  </si>
  <si>
    <t>Kit de vaiselle (en fer blanc)</t>
  </si>
  <si>
    <t>Pioche</t>
  </si>
  <si>
    <t>Pipe</t>
  </si>
  <si>
    <t>Jeux de cartes</t>
  </si>
  <si>
    <t>Pelle</t>
  </si>
  <si>
    <t>Montre standard</t>
  </si>
  <si>
    <t>Montre en or</t>
  </si>
  <si>
    <t>Ceinturon</t>
  </si>
  <si>
    <t>Holster classique</t>
  </si>
  <si>
    <t>Holster rapide</t>
  </si>
  <si>
    <t>Lanière de shotgun</t>
  </si>
  <si>
    <t>Mule</t>
  </si>
  <si>
    <t>Selle</t>
  </si>
  <si>
    <t>Munitions Pistolet (.22&gt;.38) X50</t>
  </si>
  <si>
    <t>Munitions Fusil (.38&gt;.52) X50</t>
  </si>
  <si>
    <t>Munitions Pistolet (.40&gt;.50) X50</t>
  </si>
  <si>
    <t>Munitions Fusil (.56&gt;.69) X50</t>
  </si>
  <si>
    <t>Bois de chauffe</t>
  </si>
  <si>
    <t>Bougie de cire</t>
  </si>
  <si>
    <t>Bougie de suif</t>
  </si>
  <si>
    <t>Charbon de bois</t>
  </si>
  <si>
    <t>Lampe-tempête</t>
  </si>
  <si>
    <t>Pot à braises</t>
  </si>
  <si>
    <t>Torche non-traitée</t>
  </si>
  <si>
    <t>Torche traitée</t>
  </si>
  <si>
    <t>Accessoires de calligraphie</t>
  </si>
  <si>
    <t>Bâton de craie</t>
  </si>
  <si>
    <t>Bâton de fusain</t>
  </si>
  <si>
    <t>Encre de couleur</t>
  </si>
  <si>
    <t>Encre noire</t>
  </si>
  <si>
    <t>Encre violette</t>
  </si>
  <si>
    <t>Fermoir</t>
  </si>
  <si>
    <t>Nécessaire de cartographie</t>
  </si>
  <si>
    <t>Pinceau</t>
  </si>
  <si>
    <t>Stylo à encre</t>
  </si>
  <si>
    <t>Cage (grande)</t>
  </si>
  <si>
    <t>Cage (petite)</t>
  </si>
  <si>
    <t>Harnais</t>
  </si>
  <si>
    <t>Kit de toilettage d'animal</t>
  </si>
  <si>
    <t>Laine (1m²)</t>
  </si>
  <si>
    <t>Lacets en cuir (1m)</t>
  </si>
  <si>
    <t>Peau de cheval</t>
  </si>
  <si>
    <t>Peau de crocodile</t>
  </si>
  <si>
    <t>Peau de daim</t>
  </si>
  <si>
    <t>Peau de léopard</t>
  </si>
  <si>
    <t>Peau de lion</t>
  </si>
  <si>
    <t>Peau de loup</t>
  </si>
  <si>
    <t>Peau de martre</t>
  </si>
  <si>
    <t>Peau de mouton</t>
  </si>
  <si>
    <t>Peau de raton laveur</t>
  </si>
  <si>
    <t>Peau de renard blanc</t>
  </si>
  <si>
    <t>Peau de renard roux</t>
  </si>
  <si>
    <t>Peau de vache (cuir)</t>
  </si>
  <si>
    <t>Peau de vison</t>
  </si>
  <si>
    <t>Peau de zibeline noire</t>
  </si>
  <si>
    <t>Peau d'ours</t>
  </si>
  <si>
    <t>Teinture pourpre (une livre)</t>
  </si>
  <si>
    <t>Teinture vermillon (une livre)</t>
  </si>
  <si>
    <t>Teinture violette (une livre)</t>
  </si>
  <si>
    <t>Velours (1m²)</t>
  </si>
  <si>
    <t>Armoire</t>
  </si>
  <si>
    <t>Bibliothèque</t>
  </si>
  <si>
    <t>Bureau</t>
  </si>
  <si>
    <t>Canapé</t>
  </si>
  <si>
    <t>Carpette</t>
  </si>
  <si>
    <t>Chaise</t>
  </si>
  <si>
    <t>Matelas (laine)</t>
  </si>
  <si>
    <t>Matelas (plumes)</t>
  </si>
  <si>
    <t>Sommier</t>
  </si>
  <si>
    <t>Table</t>
  </si>
  <si>
    <t>Tabouret</t>
  </si>
  <si>
    <t>Cor de cocher</t>
  </si>
  <si>
    <t>Harpe (petite)</t>
  </si>
  <si>
    <t>Sifflet</t>
  </si>
  <si>
    <t>Tambour</t>
  </si>
  <si>
    <t>Tambourin</t>
  </si>
  <si>
    <t>Viole</t>
  </si>
  <si>
    <t>Chocolat (une livre)</t>
  </si>
  <si>
    <t>Paprika (une livre)</t>
  </si>
  <si>
    <t>Piment rouge (une livre)</t>
  </si>
  <si>
    <t>Accessoires de déguisement</t>
  </si>
  <si>
    <t>Aiguilles à coudre (par 5)</t>
  </si>
  <si>
    <t>Balance</t>
  </si>
  <si>
    <t>Binette</t>
  </si>
  <si>
    <t>Boulier</t>
  </si>
  <si>
    <t>Brouette</t>
  </si>
  <si>
    <t>Charrue</t>
  </si>
  <si>
    <t>Chevalet de torture</t>
  </si>
  <si>
    <t>Cire à cacheter</t>
  </si>
  <si>
    <t>Colle</t>
  </si>
  <si>
    <t>Enclume</t>
  </si>
  <si>
    <t>Faux</t>
  </si>
  <si>
    <t>Fer à marquer</t>
  </si>
  <si>
    <t>Filet de pêche</t>
  </si>
  <si>
    <t>Forge</t>
  </si>
  <si>
    <t>Fourche</t>
  </si>
  <si>
    <t>Hameçon et ligne de pêche</t>
  </si>
  <si>
    <t>Longue-vue</t>
  </si>
  <si>
    <t>Loupe</t>
  </si>
  <si>
    <t>Masse</t>
  </si>
  <si>
    <t>Nécessaire d'ébéniste</t>
  </si>
  <si>
    <t>Outils d'artisan (apothicaire)</t>
  </si>
  <si>
    <t>Outils d'artisan (autre)</t>
  </si>
  <si>
    <t>Outils d'artisan (forgeron)</t>
  </si>
  <si>
    <t>Outils d'artisan (graveur)</t>
  </si>
  <si>
    <t>Outils d'artisan (ingénieur/géomètre)</t>
  </si>
  <si>
    <t>Outils d'artisan (maitre-artisan)</t>
  </si>
  <si>
    <t>Outils d'artisan (médecin)</t>
  </si>
  <si>
    <t>Outils d'artisan (navigateur)</t>
  </si>
  <si>
    <t>Outils de boucher</t>
  </si>
  <si>
    <t>Outils de crochetage</t>
  </si>
  <si>
    <t>Pied-de-biche</t>
  </si>
  <si>
    <t>Piège à loup</t>
  </si>
  <si>
    <t>Pierre à aiguiser</t>
  </si>
  <si>
    <t>Pillon et mortier</t>
  </si>
  <si>
    <t>Piolet de mineur</t>
  </si>
  <si>
    <t>Piolet d'escalade</t>
  </si>
  <si>
    <t>Presse d'imprimerie</t>
  </si>
  <si>
    <t>Sablier</t>
  </si>
  <si>
    <t>Scie à bois</t>
  </si>
  <si>
    <t>Scie à métaux</t>
  </si>
  <si>
    <t>Soufflet</t>
  </si>
  <si>
    <t>Main de vétéran</t>
  </si>
  <si>
    <t>Bouilloire</t>
  </si>
  <si>
    <t>Bourse</t>
  </si>
  <si>
    <t>Caisse métallique (grande)</t>
  </si>
  <si>
    <t>Caisse métallique (petite)</t>
  </si>
  <si>
    <t>Coffre en bois</t>
  </si>
  <si>
    <t>Coffret en bois</t>
  </si>
  <si>
    <t>Etui à parchemins ou cartes</t>
  </si>
  <si>
    <t>Etui à instrument de musique</t>
  </si>
  <si>
    <t>Flasque en métal</t>
  </si>
  <si>
    <t>Gibecière</t>
  </si>
  <si>
    <t>Malle (petite)</t>
  </si>
  <si>
    <t>Outre</t>
  </si>
  <si>
    <t>Pichet en argile</t>
  </si>
  <si>
    <t>Seau en bois</t>
  </si>
  <si>
    <t>Seau en métal</t>
  </si>
  <si>
    <t>Tonneau (100 litres)</t>
  </si>
  <si>
    <t>Tonneau (16 litres)</t>
  </si>
  <si>
    <t>Tonneau (40 litres)</t>
  </si>
  <si>
    <t>Valise</t>
  </si>
  <si>
    <t>Verre</t>
  </si>
  <si>
    <t>Brasero (grand)</t>
  </si>
  <si>
    <t>Brasero (moyen)</t>
  </si>
  <si>
    <t>Brasero (petit)</t>
  </si>
  <si>
    <t>Candélabre</t>
  </si>
  <si>
    <t>Chandelier</t>
  </si>
  <si>
    <t>Chapelet</t>
  </si>
  <si>
    <t>Cilice en métal</t>
  </si>
  <si>
    <t>Encens (cône ou bâtonnet)</t>
  </si>
  <si>
    <t>Goupillon</t>
  </si>
  <si>
    <t>Musc (une livre)</t>
  </si>
  <si>
    <t>Myrrhe (une livre)</t>
  </si>
  <si>
    <t>Symbole religieux (petit)</t>
  </si>
  <si>
    <t>Bâche</t>
  </si>
  <si>
    <t>Billes</t>
  </si>
  <si>
    <t>Boite d'amadou</t>
  </si>
  <si>
    <t>Bol (en bois)</t>
  </si>
  <si>
    <t>Cadenas</t>
  </si>
  <si>
    <t>Cloche</t>
  </si>
  <si>
    <t>Couverture</t>
  </si>
  <si>
    <t>Crapaudine</t>
  </si>
  <si>
    <t>Dés en os</t>
  </si>
  <si>
    <t>Dés en os pipés</t>
  </si>
  <si>
    <t>Echelle</t>
  </si>
  <si>
    <t>Echelle de corde</t>
  </si>
  <si>
    <t>Ecuelle de grès</t>
  </si>
  <si>
    <t>Eponge</t>
  </si>
  <si>
    <t>Grappin</t>
  </si>
  <si>
    <t>Maquillage</t>
  </si>
  <si>
    <t>Marmite de fer (3l)</t>
  </si>
  <si>
    <t>Marmite de fer (5l)</t>
  </si>
  <si>
    <t>Miroir (grand en métal)</t>
  </si>
  <si>
    <t>Miroir (petit en argent)</t>
  </si>
  <si>
    <t>Nécessaire antipoison</t>
  </si>
  <si>
    <t>Nécessaire de rasage</t>
  </si>
  <si>
    <t>Perche (au mètre)</t>
  </si>
  <si>
    <t>Pinces à linge (douzaine)</t>
  </si>
  <si>
    <t>Tabatière</t>
  </si>
  <si>
    <t>Tente (grande)</t>
  </si>
  <si>
    <t>Tente (pavillon)</t>
  </si>
  <si>
    <t>Agate taillée</t>
  </si>
  <si>
    <t>Ambre (un sac)</t>
  </si>
  <si>
    <t>Ambre brute</t>
  </si>
  <si>
    <t>Ambre gris (un sac)</t>
  </si>
  <si>
    <t>Ambre taillée</t>
  </si>
  <si>
    <t>Améthyste brute</t>
  </si>
  <si>
    <t>Améthyste taillée</t>
  </si>
  <si>
    <t>Anneau en argent</t>
  </si>
  <si>
    <t>Anneau en argent et or</t>
  </si>
  <si>
    <t>Anneau en argent et pierres fanes</t>
  </si>
  <si>
    <t>Anneau en bronze</t>
  </si>
  <si>
    <t>Anneau en or et pierres précieuses</t>
  </si>
  <si>
    <t>Boucles d'oreilles en argent</t>
  </si>
  <si>
    <t>Boucles d'oreilles en argent et or</t>
  </si>
  <si>
    <t>Boucles d'oreilles en argent et pierres fanes</t>
  </si>
  <si>
    <t>Boucles d'oreilles en bronze</t>
  </si>
  <si>
    <t>Boucles d'oreilles en or et pierres précieuses</t>
  </si>
  <si>
    <t>Bracelet en argent</t>
  </si>
  <si>
    <t>Bracelet en argent et or</t>
  </si>
  <si>
    <t>Bracelet en argent et pierres fanes</t>
  </si>
  <si>
    <t>Bracelet en bronze</t>
  </si>
  <si>
    <t>Bracelet en or et pierres précieuses</t>
  </si>
  <si>
    <t>Brassart en argent</t>
  </si>
  <si>
    <t>Brassart en argent et or</t>
  </si>
  <si>
    <t>Brassart en argent et pierres fanes</t>
  </si>
  <si>
    <t>Brassart en bronze</t>
  </si>
  <si>
    <t>Brassart en or et pierres précieuses</t>
  </si>
  <si>
    <t>Broche/Pendentif en argent</t>
  </si>
  <si>
    <t>Broche/Pendentif en argent et or</t>
  </si>
  <si>
    <t>Broche/Pendentif en argent et pierres fanes</t>
  </si>
  <si>
    <t>Broche/Pendentif en bronze</t>
  </si>
  <si>
    <t>Broche/Pendentif en or et pierres précieuses</t>
  </si>
  <si>
    <t>Calcédoine  brute</t>
  </si>
  <si>
    <t>Calcédoine taillée</t>
  </si>
  <si>
    <t>Chrysobéryl brute</t>
  </si>
  <si>
    <t>Chrysobéryl taillée</t>
  </si>
  <si>
    <t>Collier en argent</t>
  </si>
  <si>
    <t>Collier en argent et or</t>
  </si>
  <si>
    <t>Collier en argent et pierres fanes</t>
  </si>
  <si>
    <t>Collier en bronze</t>
  </si>
  <si>
    <t>Collier en or et pierres précieuses</t>
  </si>
  <si>
    <t>Cristal de roche brut</t>
  </si>
  <si>
    <t>Cristal de roche taillé</t>
  </si>
  <si>
    <t>Diamant brut</t>
  </si>
  <si>
    <t>Diamant taillé</t>
  </si>
  <si>
    <t>Emeraude brute</t>
  </si>
  <si>
    <t>Emeraude taillée</t>
  </si>
  <si>
    <t>Grenat brut</t>
  </si>
  <si>
    <t>Grenat taillé</t>
  </si>
  <si>
    <t>Hématite brute</t>
  </si>
  <si>
    <t>Hématite taillée</t>
  </si>
  <si>
    <t>Hyacinthe brute</t>
  </si>
  <si>
    <t>Hyacinthe taillée</t>
  </si>
  <si>
    <t>Ivoire (une corne)</t>
  </si>
  <si>
    <t>Jade brute</t>
  </si>
  <si>
    <t>Jade taillée</t>
  </si>
  <si>
    <t>Jais brut</t>
  </si>
  <si>
    <t>Jais taillé</t>
  </si>
  <si>
    <t>Lapis-lazulis brut</t>
  </si>
  <si>
    <t>Lapis-lazulis taillé</t>
  </si>
  <si>
    <t>Malachite brute</t>
  </si>
  <si>
    <t>Malachite taillée</t>
  </si>
  <si>
    <t>Médaillon en argent</t>
  </si>
  <si>
    <t>Médaillon en argent et or</t>
  </si>
  <si>
    <t>Médaillon en argent et pierres fanes</t>
  </si>
  <si>
    <t>Médaillon en bronze</t>
  </si>
  <si>
    <t>Médaillon en or et pierres précieuses</t>
  </si>
  <si>
    <t>Obsidienne brute</t>
  </si>
  <si>
    <t>Obsidienne taillée</t>
  </si>
  <si>
    <t>Œil-de-tigre brut</t>
  </si>
  <si>
    <t>Œil-de-tigre taillé</t>
  </si>
  <si>
    <t>Onyx brute</t>
  </si>
  <si>
    <t>Onyx taillé</t>
  </si>
  <si>
    <t>Opale commune brute</t>
  </si>
  <si>
    <t>Opale commune taillée</t>
  </si>
  <si>
    <t>Opale noire brute</t>
  </si>
  <si>
    <t>Opale noire taillée</t>
  </si>
  <si>
    <t>Péridot brut</t>
  </si>
  <si>
    <t>Péridot taillé</t>
  </si>
  <si>
    <t>Perle</t>
  </si>
  <si>
    <t>Perle commune</t>
  </si>
  <si>
    <t>Pierre de lune brute</t>
  </si>
  <si>
    <t>Pierre de lune taillée</t>
  </si>
  <si>
    <t>Quartz brut</t>
  </si>
  <si>
    <t>Quartz taillé</t>
  </si>
  <si>
    <t>Rubis brut</t>
  </si>
  <si>
    <t>Rubis taillé</t>
  </si>
  <si>
    <t>Saphir brut</t>
  </si>
  <si>
    <t>Saphir taillé</t>
  </si>
  <si>
    <t>Spinelle bleue brute</t>
  </si>
  <si>
    <t>Spinelle bleue taillée</t>
  </si>
  <si>
    <t>Spinelle commune brute</t>
  </si>
  <si>
    <t>Spinelle commune taillée</t>
  </si>
  <si>
    <t>Topaze brute</t>
  </si>
  <si>
    <t>Topaze taillée</t>
  </si>
  <si>
    <t xml:space="preserve">Torque en argent </t>
  </si>
  <si>
    <t>Torque en argent et or</t>
  </si>
  <si>
    <t>Torque en argent et pierres fanes</t>
  </si>
  <si>
    <t>Torque en bronze</t>
  </si>
  <si>
    <t>Torque en or et pierres précieuses</t>
  </si>
  <si>
    <t>Tourmaline brute</t>
  </si>
  <si>
    <t>Tourmaline taillée</t>
  </si>
  <si>
    <t>Zircon brut</t>
  </si>
  <si>
    <t>Zircon taillé</t>
  </si>
  <si>
    <t>Atours (beaux, tenue complète)</t>
  </si>
  <si>
    <t>Atours royaux (tenue complète)</t>
  </si>
  <si>
    <t>Bande d'étoffe</t>
  </si>
  <si>
    <t>Bas de laine</t>
  </si>
  <si>
    <t>Béret de velours</t>
  </si>
  <si>
    <t>Bottes basses</t>
  </si>
  <si>
    <t>Bottes d'équitation</t>
  </si>
  <si>
    <t>Bottes, cuissardes</t>
  </si>
  <si>
    <t>Braies</t>
  </si>
  <si>
    <t>Brayette</t>
  </si>
  <si>
    <t>Calotte</t>
  </si>
  <si>
    <t>Capuchon</t>
  </si>
  <si>
    <t>Carcan en bois</t>
  </si>
  <si>
    <t>Carcan en acier</t>
  </si>
  <si>
    <t>Ceinture</t>
  </si>
  <si>
    <t>Chaperon</t>
  </si>
  <si>
    <t>Chasuble</t>
  </si>
  <si>
    <t>Chaussettes</t>
  </si>
  <si>
    <t>Chemise de nuit</t>
  </si>
  <si>
    <t>Corset</t>
  </si>
  <si>
    <t>Costume de scène</t>
  </si>
  <si>
    <t>Doublet</t>
  </si>
  <si>
    <t>Écharpe</t>
  </si>
  <si>
    <t>Gants</t>
  </si>
  <si>
    <t>Kilt</t>
  </si>
  <si>
    <t>Manteau léger</t>
  </si>
  <si>
    <t>Masque</t>
  </si>
  <si>
    <t>Pagne</t>
  </si>
  <si>
    <t>Pardessus</t>
  </si>
  <si>
    <t>Pèlerine</t>
  </si>
  <si>
    <t>Uniforme (tenue complète)</t>
  </si>
  <si>
    <t>Vêtements religieux (tenue complète)</t>
  </si>
  <si>
    <t>Eclairage</t>
  </si>
  <si>
    <t>Ecriture</t>
  </si>
  <si>
    <t>Eq. Animaux</t>
  </si>
  <si>
    <t>Mercerie/Tannerie</t>
  </si>
  <si>
    <t>Mobilier</t>
  </si>
  <si>
    <t>Musique</t>
  </si>
  <si>
    <t>Outils</t>
  </si>
  <si>
    <t>Récipients</t>
  </si>
  <si>
    <t>Religion</t>
  </si>
  <si>
    <t>Trésors</t>
  </si>
  <si>
    <t>Soie (1m²)</t>
  </si>
  <si>
    <t>Galuron</t>
  </si>
  <si>
    <t>Malle (grande)</t>
  </si>
  <si>
    <t>Piano mécanique</t>
  </si>
  <si>
    <t>Panier (grand)</t>
  </si>
  <si>
    <t>Encensoir en métal</t>
  </si>
  <si>
    <t>Reliquaire (petit)</t>
  </si>
  <si>
    <t>Bannière de régiment</t>
  </si>
  <si>
    <t>Fil (bobine de 50 mètres )</t>
  </si>
  <si>
    <t>Fil de fer barbelé (par mètre )</t>
  </si>
  <si>
    <t>Sac à dos (en cuir)</t>
  </si>
  <si>
    <t>Parfum/Eau de toilette (petit flacon)</t>
  </si>
  <si>
    <t>Sac à dos (en tissu)</t>
  </si>
  <si>
    <t>Bottes cloutées</t>
  </si>
  <si>
    <t>Chapeau de paille</t>
  </si>
  <si>
    <t>Chemise/chemiser/tunique élégant</t>
  </si>
  <si>
    <t>Chemise/chemisier/tunique simple</t>
  </si>
  <si>
    <t>Robe de bal/Smoking</t>
  </si>
  <si>
    <t>1d10/ charge</t>
  </si>
  <si>
    <t>Vitesse</t>
  </si>
  <si>
    <t>Durée</t>
  </si>
  <si>
    <t>Brise Fraiche</t>
  </si>
  <si>
    <t>As</t>
  </si>
  <si>
    <t>1min/niv.</t>
  </si>
  <si>
    <t>Esprit</t>
  </si>
  <si>
    <t>Casse toi!</t>
  </si>
  <si>
    <t>Portée</t>
  </si>
  <si>
    <t>Personnel</t>
  </si>
  <si>
    <t>Connaissance</t>
  </si>
  <si>
    <t>Instantané</t>
  </si>
  <si>
    <t>Paire</t>
  </si>
  <si>
    <t>Valets</t>
  </si>
  <si>
    <t>Brelan</t>
  </si>
  <si>
    <t>Quinte</t>
  </si>
  <si>
    <t>Full</t>
  </si>
  <si>
    <t>Carré</t>
  </si>
  <si>
    <t>Quinte Flush</t>
  </si>
  <si>
    <t>Royal Flush</t>
  </si>
  <si>
    <t>Sort</t>
  </si>
  <si>
    <t>Pouvoir Ki</t>
  </si>
  <si>
    <t>Capture de la perle de mort</t>
  </si>
  <si>
    <t>Châtiment vertueux</t>
  </si>
  <si>
    <t>Coup de poing venimeux</t>
  </si>
  <si>
    <t>Déflagration d'enfer</t>
  </si>
  <si>
    <t>5+ coût copié</t>
  </si>
  <si>
    <t>Fermeture du portail</t>
  </si>
  <si>
    <t>1/1d6 souffle</t>
  </si>
  <si>
    <t>variable</t>
  </si>
  <si>
    <t>Frappe à distance</t>
  </si>
  <si>
    <t>La rivière coule vers l'amont</t>
  </si>
  <si>
    <t>défausse</t>
  </si>
  <si>
    <t>Le coup du gorille destructeur</t>
  </si>
  <si>
    <t>5/dé de dégât</t>
  </si>
  <si>
    <t>Le coup du Cobra</t>
  </si>
  <si>
    <t>2/carte conservée</t>
  </si>
  <si>
    <t>3/niv. De blessure</t>
  </si>
  <si>
    <t>Le rossignol charitable</t>
  </si>
  <si>
    <t>Les anneaux de l'anguille</t>
  </si>
  <si>
    <t>Les crocs du serpent</t>
  </si>
  <si>
    <t>Le singe part à la montagne</t>
  </si>
  <si>
    <t>Le vent souffle sur la terre</t>
  </si>
  <si>
    <t>Maman léopard et ses petits</t>
  </si>
  <si>
    <t>Pas chassés du singe prudent</t>
  </si>
  <si>
    <t>Port du roi de jade</t>
  </si>
  <si>
    <t>Sang d'or</t>
  </si>
  <si>
    <t>Vol d'oiseaux hargneux</t>
  </si>
  <si>
    <t>CAPACITES SURNATURELLES</t>
  </si>
  <si>
    <t>Miracle</t>
  </si>
  <si>
    <t>Type de pouvoir</t>
  </si>
  <si>
    <t>2 +2/attaque</t>
  </si>
  <si>
    <t>1 +1/cible</t>
  </si>
  <si>
    <t>4 +2/balle</t>
  </si>
  <si>
    <t>Back East – The South</t>
  </si>
  <si>
    <t>Sudiste</t>
  </si>
  <si>
    <t>Base</t>
  </si>
  <si>
    <t>Le Grand Labyrinthe / Hexarcana</t>
  </si>
  <si>
    <t>Lost Angels</t>
  </si>
  <si>
    <t>River o’Blood</t>
  </si>
  <si>
    <t>Chual Favori (mineur)</t>
  </si>
  <si>
    <t>Chual Favori (moyen)</t>
  </si>
  <si>
    <t>Chual Favori (majeur)</t>
  </si>
  <si>
    <t>Chual Favori (extrême)</t>
  </si>
  <si>
    <t>Chual Favori (ultime)</t>
  </si>
  <si>
    <t>La Croix et le Colt</t>
  </si>
  <si>
    <t>La Danse des Esprits</t>
  </si>
  <si>
    <t>Foi à 1</t>
  </si>
  <si>
    <t>The Great Weird North</t>
  </si>
  <si>
    <t>Permet de passer 24 heures de jeûne sans perdre de points de souffle.</t>
  </si>
  <si>
    <t xml:space="preserve"> Connaît  des  gens  qui  peuvent  éventuellement  lui  donner  un  coup  de main en cas de problème</t>
  </si>
  <si>
    <t xml:space="preserve"> Ne  souffre  pas  de  la  pénalité  de  -4  s’il  utilise  sa « mauvaise »  main.  Il  garde  cependant  la  pénalité  de  -2</t>
  </si>
  <si>
    <t>+ 2 en Persuasion ou toute circonstance où l'apparence joue en sa faveur</t>
  </si>
  <si>
    <t xml:space="preserve">Annule le malus de -2 en tirer quand le personnage est à cheval </t>
  </si>
  <si>
    <t>Permet d'invoquer un esprit vaudou</t>
  </si>
  <si>
    <t>Chaque fois que le héros va commettre un péché, le Marshal le prévient</t>
  </si>
  <si>
    <t>Ajoute +1 aux jets d’étourdissement et d’encaissement en combat</t>
  </si>
  <si>
    <t xml:space="preserve">En dehors des poisons mortels, le personnage peut avaler n’importe quoi sans souffrir </t>
  </si>
  <si>
    <t>Après qques minutes le personnage comprends une langue comme s'il l'avait au rang 1.</t>
  </si>
  <si>
    <t>Arcane: Magie du sang</t>
  </si>
  <si>
    <t xml:space="preserve">Black Circle – Unholy Alliance </t>
  </si>
  <si>
    <t>Permet  de  conserver  en  réserve  1pt d’Apaisement qui pourra servir à exaucer une faveur</t>
  </si>
  <si>
    <t>Permet  de  conserver  en  réserve  2pts d’Apaisement qui pourront servir à exaucer une faveur</t>
  </si>
  <si>
    <t>Permet  de  conserver  en  réserve  4pts d’Apaisement qui pourront servir à exaucer une faveur</t>
  </si>
  <si>
    <t>Permet  de  conserver  en  réserve  3pts d’Apaisement qui pourront servir à exaucer une faveur</t>
  </si>
  <si>
    <t>Permet  de  conserver  en  réserve  5pts d’Apaisement qui pourront servir à exaucer une faveur</t>
  </si>
  <si>
    <t xml:space="preserve">Le Grand Labyrinthe / Hexarcana </t>
  </si>
  <si>
    <t>Le Seuil  de  Difficulté  ne  peut  jamais  être  supérieur  à 5  pour éviter d’être surpris</t>
  </si>
  <si>
    <t>Estomac d'acier</t>
  </si>
  <si>
    <t>Tout résultat sur la table des séquelles de Terreur inférieur ou égal à « Mou du genou » est ignoré</t>
  </si>
  <si>
    <t>The Agency – Men In Black dusters</t>
  </si>
  <si>
    <t>Si jet  de tripes raté (non surnaturel), peut ignorer tout perte de souffle ou obligation de fuite</t>
  </si>
  <si>
    <t>Base/ Le Grand Labyrinthe</t>
  </si>
  <si>
    <t>Le Livres des Hucksters</t>
  </si>
  <si>
    <t>Mexicain, militaire ou homme d’église</t>
  </si>
  <si>
    <t>Le personnage ne peut être jugé que par un tribunal de son corps de métier</t>
  </si>
  <si>
    <t>South o’the Border</t>
  </si>
  <si>
    <t>Grade militaire (caporal)</t>
  </si>
  <si>
    <t>Grade militaire (sergent)</t>
  </si>
  <si>
    <t>Grade militaire (lieutenant, capitaine)</t>
  </si>
  <si>
    <t>Grade militaire (major, colonel)</t>
  </si>
  <si>
    <t>Base / Au nom de la Loi</t>
  </si>
  <si>
    <t>Le héros gagne une autorité légitime</t>
  </si>
  <si>
    <t>Se  comporte  de  façon  à  se  moquer  perpétuellement  de  lui-même  pour tout relativiser</t>
  </si>
  <si>
    <t>Le Grand Labirynthe/ Hexarcana</t>
  </si>
  <si>
    <t>Plus aucun malus lorsqu’on utilise une arme dans chaque main</t>
  </si>
  <si>
    <t>Au nom de la Loi</t>
  </si>
  <si>
    <t>"La Voix" Appaisante</t>
  </si>
  <si>
    <t>+2 en Persuasion</t>
  </si>
  <si>
    <t>"La Voix" Moqueuse</t>
  </si>
  <si>
    <t>+2 en Ridiculiser</t>
  </si>
  <si>
    <t>"La Voix" Effrayante</t>
  </si>
  <si>
    <t>+2 en Intimider</t>
  </si>
  <si>
    <t>Le personnage connaît les différents us et coutumes d’une culture donnée en dehors de la sienne</t>
  </si>
  <si>
    <t>Science Folle</t>
  </si>
  <si>
    <t>Le personnage a 250$ supplémentaire en cash et 100$ à la banque</t>
  </si>
  <si>
    <t>Le personnage a 500$ supplémentaire en cash et 500$ à la banque</t>
  </si>
  <si>
    <t>Le personnage a 1000$ supplémentaire en cash et 2000$ à la banque</t>
  </si>
  <si>
    <t>Le personnage a 2000$ supplémentaire en cash et 5000$ à la banque</t>
  </si>
  <si>
    <t>Le personnage a 5000$ supplémentaire en cash et 10000$ à la banque</t>
  </si>
  <si>
    <t>Annule le malus de -2 lorsque le héros se bat à cheval</t>
  </si>
  <si>
    <t>Aztèque</t>
  </si>
  <si>
    <t>Inuit/Lapon</t>
  </si>
  <si>
    <t>Nordiste</t>
  </si>
  <si>
    <t>Ne se plante que si au moins 75% des dés  tombent sur 1. Tire une pépite chaque fois qu’il obtient 5 degrés</t>
  </si>
  <si>
    <t>Quand jet de tripes raté et contraint de fuir, peut continuer à rester pour se battre avec les pénalités</t>
  </si>
  <si>
    <t>+2 à tous les jets de Perception pour repérer les choses à distance</t>
  </si>
  <si>
    <t>+2 à tous les jets de Perception impliquant l’audition</t>
  </si>
  <si>
    <t>Le Livre des Hucksters</t>
  </si>
  <si>
    <t>+2 à tous les jets de Tripes</t>
  </si>
  <si>
    <t>+2 aux jets d’Intimider si le personnage est suffisamment près</t>
  </si>
  <si>
    <t>Le personnage a une bonne réputation. On peut le reconnaître avec un jet d’aptitude à 5, voire à 3 là où il est établi</t>
  </si>
  <si>
    <t>Le personnage tient une place élevée dans la hiérarchie de son ordre</t>
  </si>
  <si>
    <t>Sang Whateley</t>
  </si>
  <si>
    <t>Black Circle – Unholy Alliance</t>
  </si>
  <si>
    <t>Peut utiliser des Pépites pour utiliser des pouvoirs du Sang (mais cela le corrompt peu à peu)</t>
  </si>
  <si>
    <t>Ajoute 2 points de Souffle</t>
  </si>
  <si>
    <t>Ajoute 4 points de Souffle</t>
  </si>
  <si>
    <t>Ajoute 6 points de Souffle</t>
  </si>
  <si>
    <t>Ajoute 8 points de Souffle</t>
  </si>
  <si>
    <t>Ajoute 10 points de Souffle</t>
  </si>
  <si>
    <t>Base, The Quick &amp; The Dead</t>
  </si>
  <si>
    <t>Le personnage gagne quinze points de personnage supplémentaire, mais doit tirer une carte pour déterminer un incident</t>
  </si>
  <si>
    <t>Peut tirer les cartes une par une, et s’arrêter dès qu’il a une main suffisante.</t>
  </si>
  <si>
    <t>Tous les jets d’aptitudes de type social faites à l’encontre du personnage sont faits avec un type de dé d’un niveau inférieur</t>
  </si>
  <si>
    <t>Bien qu’il ait des parents Indiens, le personnage ressemble à un Visage Pâle</t>
  </si>
  <si>
    <t>Griswold &amp; Gunnison</t>
  </si>
  <si>
    <t>Colt Shopkeeper</t>
  </si>
  <si>
    <t>Remington Rolling Block</t>
  </si>
  <si>
    <t>Kennedy Repeater</t>
  </si>
  <si>
    <t>.45-60</t>
  </si>
  <si>
    <t>Ne peut pas se passer d’une substance peu dangereuse ou malus de -2 apt. Mentales au bout de 24h</t>
  </si>
  <si>
    <t>Ne peut pas se passer d’une substance dangereuse ou malus de -4 à ttes aptitudes au bout de 48h</t>
  </si>
  <si>
    <t>Le Livre des Morts</t>
  </si>
  <si>
    <t>La Danse des esprits</t>
  </si>
  <si>
    <t>Le personnage ne fait partie d’aucune tribu, ne peut apprendre aucun rituel, ni participer à une cérémonie</t>
  </si>
  <si>
    <t>Mestizo</t>
  </si>
  <si>
    <t>-2 pour tous les jets d’Aptitude pour voir ou toucher quelque chose au-delà de 20 mètres.</t>
  </si>
  <si>
    <t>-4 pour tous les jets d’Aptitude pour voir ou toucher quelque chose au-delà de 20 mètres.</t>
  </si>
  <si>
    <t>Le personnage est tellement confiant qu’il croit être capable de surmonter tous les défis.</t>
  </si>
  <si>
    <t>Le personnage drague tout ce qui l’intéresse.</t>
  </si>
  <si>
    <t>Le personnage a une phobie et en présence de celle-ci subit un malus de -1 aux jets d'aptitudes</t>
  </si>
  <si>
    <t>Le personnage a une phobie et en présence de celle-ci subit un malus de -2 aux jets d'aptitudes</t>
  </si>
  <si>
    <t>Le personnage a une phobie et en présence de celle-ci subit un malus de -3 aux jets d'aptitudes</t>
  </si>
  <si>
    <t>Le personnage a une phobie et en présence de celle-ci subit un malus de -4 aux jets d'aptitudes</t>
  </si>
  <si>
    <t>Le personnage a une phobie et en présence de celle-ci subit un malus de -5 aux jets d'aptitudes</t>
  </si>
  <si>
    <t>-2 à tous les tests de volonté impliquant la voix sauf pour se défendre</t>
  </si>
  <si>
    <t>-2 à tous les jets de Foi, y compris ceux pour invoquer les miracles</t>
  </si>
  <si>
    <t>-4 à tous les jets de Foi, y compris ceux pour invoquer les miracles</t>
  </si>
  <si>
    <t>Ne peut pas s’empêcher de vouloir en savoir le plus possible, même s’il doit risquer sa vie</t>
  </si>
  <si>
    <t>Faveurs et miracles bénéfiques ne marchent pas sur le perso. La magie noire et maléfices renforcés.</t>
  </si>
  <si>
    <t>Le personnage n’achète que les objets « d’occasion », et est toujours dans le besoin.</t>
  </si>
  <si>
    <t>Le personnage a subi quelque chose qui le pousse à chercher la mort</t>
  </si>
  <si>
    <t>Lancer un sort sans se faire repérer est très difficile</t>
  </si>
  <si>
    <t>Lancer un sort sans se faire repérer est vraiment très difficile</t>
  </si>
  <si>
    <t>Lancer un sort sans se faire repérer est presque impossible</t>
  </si>
  <si>
    <t>Lancer un sort sans se faire repérer relève de l'exploit</t>
  </si>
  <si>
    <t>Lancer un sort sans se faire repérer est difficile</t>
  </si>
  <si>
    <t>Est issu d’une école d’arts martiaux qui nourrit une rivalité haineuse envers une autre</t>
  </si>
  <si>
    <t>Quelqu’un de peu dangereux et/ou qui se montre très rarement en veut spécialement au personnage.</t>
  </si>
  <si>
    <t>Quelqu’un de dangereux et/ou qui se montre rarement en veut spécialement au personnage.</t>
  </si>
  <si>
    <t>Quelqu’un de dangereux en veut spécialement au personnage.</t>
  </si>
  <si>
    <t>Quelqu’un de très dangereux et/ou qui se montre souvent en veut spécialement au personnage.</t>
  </si>
  <si>
    <t>Le personnage aura du mal à s’intégrer dans la société, de par ses origines différentes.</t>
  </si>
  <si>
    <t>Le personnage croit que tout ce qu’il fait sert une cause plus importante que tout le reste</t>
  </si>
  <si>
    <t>Retire 2 points de Souffle (minimum 4)</t>
  </si>
  <si>
    <t>Retire 4 points de Souffle (minimum 4)</t>
  </si>
  <si>
    <t>Retire 6 points de Souffle (minimum 4)</t>
  </si>
  <si>
    <t>Retire 8 points de Souffle (minimum 4)</t>
  </si>
  <si>
    <t>Retire 10 points de Souffle (minimum 4)</t>
  </si>
  <si>
    <t>Le personnage ne peut pas s’empêcher de parler de tout et de rien.</t>
  </si>
  <si>
    <t>+1 à sa Taille et réduit son Allure d’un point (minimum 4). Le type de dé de son Agilité est un d10.</t>
  </si>
  <si>
    <t>+2 à sa Taille et réduit son Allure de 2 crans (minimum 4). Le type de dé de son Agilité est un d8.</t>
  </si>
  <si>
    <t>Jet d’Âme diminué de 1 pour empêcher son Manitou de prendre les commandes</t>
  </si>
  <si>
    <t>Jet d’Âme diminué de 2 pour empêcher son Manitou de prendre les commandes</t>
  </si>
  <si>
    <t>Jet d’Âme diminué de 3 pour empêcher son Manitou de prendre les commandes</t>
  </si>
  <si>
    <t>Jet d’Âme diminué de 4 pour empêcher son Manitou de prendre les commandes</t>
  </si>
  <si>
    <t>Jet d’Âme diminué de 5 pour empêcher son Manitou de prendre les commandes</t>
  </si>
  <si>
    <t>Chaque fois que quelqu’un demande de l’aide au personnage, il ne peut pas refuser.</t>
  </si>
  <si>
    <t>Le personnage doit se comporter de la manière la plus vertueuse possible.</t>
  </si>
  <si>
    <t>Honorable</t>
  </si>
  <si>
    <t>Le personnage ne se sent pas tenu de respecter la loi.</t>
  </si>
  <si>
    <t>Pour une raison ou pour une autre, le personnage a pris l’identité de quelqu’un d’autre</t>
  </si>
  <si>
    <t>Au Nom de la Loi</t>
  </si>
  <si>
    <t>Le personnage ne sait pas lire. Pas même les mots les plus simples de sa langue natale.</t>
  </si>
  <si>
    <t>Base / Back East – The South</t>
  </si>
  <si>
    <t>Le personnage agit avant de réfléchir. Pas question de perdre son temps à élaborer un plan, il faut foncer</t>
  </si>
  <si>
    <t>Le personnage ne fréquente pas certaines personnes</t>
  </si>
  <si>
    <t>-2 à tous ses jets de dés de Persuasion s’il veut utiliser la manière douce. +2 aux jets d’Intimider.</t>
  </si>
  <si>
    <t>Base / The Quick &amp; The Dead</t>
  </si>
  <si>
    <t>Est tenu par un code d’honneur auquel la majorité n’adhère pas. +2 à certains jets de Persuasion</t>
  </si>
  <si>
    <t>Déterré</t>
  </si>
  <si>
    <t>Le personnage est sans arrêt provoqué, sans raison. Les gens meurent souvent autour de lui.</t>
  </si>
  <si>
    <t>Le personnage est extrêmement loyal envers ses amis. Il n’hésitera pas à risquer sa vie.</t>
  </si>
  <si>
    <t>Le personnage considère les femmes comme des objets.</t>
  </si>
  <si>
    <t>Une maladie légère soustrait -2 à tous les jets de persuasion et furtivité.</t>
  </si>
  <si>
    <t>-2 en Persuasion et Furtivité. Début de partie: test Vigueur à 5 réussi ou -4 à tous ses jets d’Aptitudes</t>
  </si>
  <si>
    <t>-2 en Persuasion et Furtivité. Début de partie: test Vigueur à 5 réussi ou -4 à tous ses jets d’Aptitudes. Test de Vigueur à 7 réussi ou mort.</t>
  </si>
  <si>
    <t>Il manque un bras au héros. -4 à toutes les actions demandant l’usage des deux mains.</t>
  </si>
  <si>
    <t>Le personnage a une sale manie dérangeante. Tous ses jets de persuasion sont à -1</t>
  </si>
  <si>
    <t>Le personnage a une sale manie très dérangeante. Tous ses jets de persuasion sont à -2</t>
  </si>
  <si>
    <t>Marque de Caïn</t>
  </si>
  <si>
    <t>Le personnage ne tire que deux pépites au début de l’aventure.</t>
  </si>
  <si>
    <t>Chaque fois que le Huckster tire un Joker quand il lance un sort, cela lui flanquera un contrecoup</t>
  </si>
  <si>
    <t>Le personnage est sarcastique. -2 en persuasion, +2 aux résultats d’Intimider.</t>
  </si>
  <si>
    <t>Le personnage a du mal à s’intégrer chez les Indiens comme chez son autre parent.</t>
  </si>
  <si>
    <t>-2 à tous ses jets de tripes face à une scène d’horreur</t>
  </si>
  <si>
    <t>Le personnage est gaucher. Persuasion avec un malus de -4 par rapport aux autres Aztèques</t>
  </si>
  <si>
    <t>Dextrie</t>
  </si>
  <si>
    <t>Le héros ne tue quelqu’un que s’il estime que c’est absolument nécessaire, et encore, avec dégoût</t>
  </si>
  <si>
    <t>Le héros ne tuera jamais personne intentionnellement</t>
  </si>
  <si>
    <t>Le personnage ne commence à jouer qu’avec 50$ au lieu des 250$ de départ.</t>
  </si>
  <si>
    <t>Les « Pieds-noirs » sont des Irlandais venus faire du commerce. S’il rencontre un Whiteboy, causera des problèmes</t>
  </si>
  <si>
    <t>Le personnage est très maniéré, veut toujours être impeccable.</t>
  </si>
  <si>
    <t>Le personnage est incapable de mentir. Il souffre d’un malus de 4 à toutes ses tentatives de bluff.</t>
  </si>
  <si>
    <t>Le personnage doit toujours élaborer un plan bien précis avant de passer à l’action.</t>
  </si>
  <si>
    <t>Chaque fois que quelqu’un défie le personnage, il doit faire un jet d’Astuce à 9 pour se retenir d’attaquer</t>
  </si>
  <si>
    <t>Chaque fois que quelqu’un défie le personnage, il doit faire un jet d’Astuce à 11 pour se retenir d’attaquer</t>
  </si>
  <si>
    <t>Chaque fois que quelqu’un défie le personnage, il doit d’attaquer automatiquement</t>
  </si>
  <si>
    <t>Le personnage a -1 en Taille, et le type de dé de sa Force ne peut dépasser le d10</t>
  </si>
  <si>
    <t>Dans un lieu peuplé ou en ville: Dextérité et Charisme souffrent d’un malus de 1 point.</t>
  </si>
  <si>
    <t>Recherché (hors-la-loi)</t>
  </si>
  <si>
    <t>Recherché (desperado)</t>
  </si>
  <si>
    <t>Recherché (bandit de grand chemin)</t>
  </si>
  <si>
    <t>Le personnage a commis un crime, il est recherché par les représentants de la Loi et les chasseurs de prime</t>
  </si>
  <si>
    <t>Base / Au Nom de la Loi</t>
  </si>
  <si>
    <t>Chaque jour, doit perdre 1d4 points de Souffle par automutilation. S’il ne le fait pas, il souffre d’une pénalité de -1</t>
  </si>
  <si>
    <t>Le personnage ne fait jamais de prisonnier et ceux-ci ne survivent jamais longtemps en sa compagnie</t>
  </si>
  <si>
    <t>Dès que la température baisse au point de geler, malus de-1 en Agilité et Rapidité, et Aptitudes qui en découlent</t>
  </si>
  <si>
    <t>Le personnage a fait le serment d’accomplir une tâche importante, ou de toujours réagir dans certaines conditions</t>
  </si>
  <si>
    <t>Le sifu du héros est toujours en contact avec lui. Il doit toujours s'écraser devant lui et exaucer tous ses caprices.</t>
  </si>
  <si>
    <t>Un personnage « dur de la feuille » soustrait -2 à tous ses jets de Perception basés sur l’audition.</t>
  </si>
  <si>
    <t>Un personnage « sourd comme un pot » n’entend rien du tout.</t>
  </si>
  <si>
    <t>Le personnage est superstitieux, et prend garde à éviter tout ce qui porte malheur dans le folklore</t>
  </si>
  <si>
    <t>Après avoir tiré ses Pépites, Test d’Âme à 7.Echec: perd sa plus basse pépite. Plantage: perd la plus haute.</t>
  </si>
  <si>
    <t>Le personnage est une vraie tête de mule, et refuse de faire les choses d’une autre manière que la sienne.</t>
  </si>
  <si>
    <t>Le personnage ne croit pas au surnaturel, et ne cherchera jamais à expliquer un mystère de façon fantastique.</t>
  </si>
  <si>
    <t>Tout adversaire pratiquant un des styles en question voit son Seuil de Difficulté pour toucher le héros réduit de -3.</t>
  </si>
  <si>
    <t>Le grand Labyrinthe / Hexarcana</t>
  </si>
  <si>
    <t>Le personnage est Irlandais et fier de l’être. Il attaquera souvent les Pieds-noirs</t>
  </si>
  <si>
    <t>Tu peux ressentir les pensées des animaux, communiquer avec eux et même parfois leur demander des faveurs</t>
  </si>
  <si>
    <t>Tu peux dépenser une pépite après qu'une pépite ait été dépensée pour en annuler les effets.</t>
  </si>
  <si>
    <t>Tu ne peux jamais être surpris tant qu'il te reste une pépite blanche. Tu as parfois des visions et rêves étranges.</t>
  </si>
  <si>
    <t>Ordre des couleurs</t>
  </si>
  <si>
    <t>Mains de poker</t>
  </si>
  <si>
    <t>Cartes</t>
  </si>
  <si>
    <t>Un As</t>
  </si>
  <si>
    <t>2 cartes identiques</t>
  </si>
  <si>
    <t>Une paire de valets</t>
  </si>
  <si>
    <t>2X2 cartes identiques</t>
  </si>
  <si>
    <t>3 cartes identiques</t>
  </si>
  <si>
    <t>Flush</t>
  </si>
  <si>
    <t>5 cartes qui se suivent</t>
  </si>
  <si>
    <t>5 cartes d'une même couleur</t>
  </si>
  <si>
    <t>Brelan + Paire</t>
  </si>
  <si>
    <t>4 cartes identiques</t>
  </si>
  <si>
    <t>Quinte + Flush</t>
  </si>
  <si>
    <t>10, valet, dame, roi, as</t>
  </si>
  <si>
    <t>Piques      ♠</t>
  </si>
  <si>
    <t>Trèfles     ♣</t>
  </si>
  <si>
    <r>
      <t xml:space="preserve">Cœurs      </t>
    </r>
    <r>
      <rPr>
        <sz val="12"/>
        <color rgb="FFFF0000"/>
        <rFont val="Calibri"/>
        <family val="2"/>
        <scheme val="minor"/>
      </rPr>
      <t>♥</t>
    </r>
  </si>
  <si>
    <t>Pépites</t>
  </si>
  <si>
    <t>Améliorer un jet</t>
  </si>
  <si>
    <t>Eliminer les Blessures</t>
  </si>
  <si>
    <t>Récupérer du souffle</t>
  </si>
  <si>
    <t>Primes</t>
  </si>
  <si>
    <t>PEPITES ET PRIMES</t>
  </si>
  <si>
    <t>Blanches</t>
  </si>
  <si>
    <t>Rouges</t>
  </si>
  <si>
    <t>Bleues</t>
  </si>
  <si>
    <t>Légendes</t>
  </si>
  <si>
    <t>Permet de lancer 1D de plus qui augmente la coordination</t>
  </si>
  <si>
    <t>Donne 1 D à lancer en plus qui s'ajoute au plus haut résultat. Le marshal pioche une pépite. 1 Rouge par action max.</t>
  </si>
  <si>
    <t>Donne 1 D à lancer en plus qui s'ajoute au plus haut résultat. 1 Bleue par action max.</t>
  </si>
  <si>
    <t>Nbre</t>
  </si>
  <si>
    <t>CHEVAL</t>
  </si>
  <si>
    <t>1D4</t>
  </si>
  <si>
    <t>2D12</t>
  </si>
  <si>
    <t>1D12</t>
  </si>
  <si>
    <t>4D12</t>
  </si>
  <si>
    <t>1D8</t>
  </si>
  <si>
    <t>2D6</t>
  </si>
  <si>
    <t>1D6</t>
  </si>
  <si>
    <t>Combat: bagarre</t>
  </si>
  <si>
    <t>Total</t>
  </si>
  <si>
    <t>Fiabilité</t>
  </si>
  <si>
    <t>centre</t>
  </si>
  <si>
    <t>tête</t>
  </si>
  <si>
    <t>Blessure</t>
  </si>
  <si>
    <t>Plus de gore</t>
  </si>
  <si>
    <t>Malus</t>
  </si>
  <si>
    <t>légère</t>
  </si>
  <si>
    <t>sérieuse</t>
  </si>
  <si>
    <t>grave</t>
  </si>
  <si>
    <t>critique</t>
  </si>
  <si>
    <t>définitive</t>
  </si>
  <si>
    <t>-1 souffle / round</t>
  </si>
  <si>
    <t>-2 souffle / round</t>
  </si>
  <si>
    <t>-3 souffle / round</t>
  </si>
  <si>
    <t>+2</t>
  </si>
  <si>
    <t>A bout portant</t>
  </si>
  <si>
    <t>Par degé de réussite</t>
  </si>
  <si>
    <t>MODIFICATEURS DE BLESSURES</t>
  </si>
  <si>
    <t>LOCALISATION DES DEGATS</t>
  </si>
  <si>
    <t>DECOMPTE DE SOUFFLE</t>
  </si>
  <si>
    <t>SOUFFLE MAXIMUM:</t>
  </si>
  <si>
    <t>Au corps à corps</t>
  </si>
  <si>
    <t>Modif. de hauteur</t>
  </si>
  <si>
    <t>Marmite en fer (10l)</t>
  </si>
  <si>
    <t>Crachoir</t>
  </si>
  <si>
    <t>Trompette</t>
  </si>
  <si>
    <t>Tuba</t>
  </si>
  <si>
    <t>Flûte à bec en bois</t>
  </si>
  <si>
    <t>Chaussures (Mocassins)</t>
  </si>
  <si>
    <t xml:space="preserve">Foulard </t>
  </si>
  <si>
    <t>Mouchoir brodé en soie</t>
  </si>
  <si>
    <t>Tunique ("Canon")</t>
  </si>
  <si>
    <t>Astronomie</t>
  </si>
  <si>
    <t>Niv.</t>
  </si>
  <si>
    <t>Explosion</t>
  </si>
  <si>
    <t>Alchimie</t>
  </si>
  <si>
    <t>Coup au but</t>
  </si>
  <si>
    <t>Eau de Lethe</t>
  </si>
  <si>
    <t>Elixir d’outre-tombe</t>
  </si>
  <si>
    <t>Elixir de Samson</t>
  </si>
  <si>
    <t>Elixir du monde invisible</t>
  </si>
  <si>
    <t>Feu Grégois</t>
  </si>
  <si>
    <t>Gaz asphixiant</t>
  </si>
  <si>
    <t>Gel fortifiant</t>
  </si>
  <si>
    <t>Marchand de sable</t>
  </si>
  <si>
    <t>Marchand de sable liquide</t>
  </si>
  <si>
    <t>Onguent curatif</t>
  </si>
  <si>
    <t>Poudre affaiblissante</t>
  </si>
  <si>
    <t>Revigorant</t>
  </si>
  <si>
    <t>Tonifiant du hibou</t>
  </si>
  <si>
    <t>Vif-argent</t>
  </si>
  <si>
    <t>Elixirs et tonifiants</t>
  </si>
  <si>
    <t>Véhicules</t>
  </si>
  <si>
    <t>Chenalier</t>
  </si>
  <si>
    <t>Submersible</t>
  </si>
  <si>
    <t>Vole-au-vent</t>
  </si>
  <si>
    <t>Type Equipement</t>
  </si>
  <si>
    <t>Elixirs</t>
  </si>
  <si>
    <t>Mercerie</t>
  </si>
  <si>
    <t>Balles</t>
  </si>
  <si>
    <t>Shurikens</t>
  </si>
  <si>
    <t>Munition Pistolet Perforante X1</t>
  </si>
  <si>
    <t>Obus de 6 livres (plein)</t>
  </si>
  <si>
    <t>Obus de 6 livres (fragmentation)</t>
  </si>
  <si>
    <t>Obus de 10 livres (plein)</t>
  </si>
  <si>
    <t>Obus de 10 livres (fragmentation)</t>
  </si>
  <si>
    <t>Obus de 12 livres (plein)</t>
  </si>
  <si>
    <t>Obus de 12 livres (fragmentation)</t>
  </si>
  <si>
    <t>Cartouche trançante X1</t>
  </si>
  <si>
    <t>Cartouche explosive X1</t>
  </si>
  <si>
    <t>Cartouche auto-incendiaire X1</t>
  </si>
  <si>
    <t>Cartouche magnum X1</t>
  </si>
  <si>
    <t>Cartouche creuse X1</t>
  </si>
  <si>
    <t>Cartouche "Splat" X1</t>
  </si>
  <si>
    <t>Canne-fusil</t>
  </si>
  <si>
    <t>Fusil à air comprimé</t>
  </si>
  <si>
    <t>Pistolet à air comprimé</t>
  </si>
  <si>
    <t>.22S</t>
  </si>
  <si>
    <t>4d4</t>
  </si>
  <si>
    <t>Fléchette creuse X1</t>
  </si>
  <si>
    <t>Munitions à air comprimé (.22S) X 100</t>
  </si>
  <si>
    <t>Barillet de gatling</t>
  </si>
  <si>
    <t>Fusil Gatling</t>
  </si>
  <si>
    <t>Chargeur de gatling</t>
  </si>
  <si>
    <t>Shotgun Gatling</t>
  </si>
  <si>
    <t>Gatling à vapeur</t>
  </si>
  <si>
    <t>Canon</t>
  </si>
  <si>
    <t>Canon à vapeur de 6 livres</t>
  </si>
  <si>
    <t>Canon à vapeur de 10 livres</t>
  </si>
  <si>
    <t>Obus 6</t>
  </si>
  <si>
    <t>Obus 10</t>
  </si>
  <si>
    <t>Obus 12</t>
  </si>
  <si>
    <t>Canon à vapeur de 12 livres</t>
  </si>
  <si>
    <t>BL</t>
  </si>
  <si>
    <t>5d12</t>
  </si>
  <si>
    <t>5d20</t>
  </si>
  <si>
    <t>Pistolet électrostatique</t>
  </si>
  <si>
    <t>Couteau électrostatique</t>
  </si>
  <si>
    <t>Sabre électrostatique</t>
  </si>
  <si>
    <t>∞</t>
  </si>
  <si>
    <t>Condensateur électrostatique de rechange</t>
  </si>
  <si>
    <t>Charge d'acide X1</t>
  </si>
  <si>
    <t>Pistolet à acide</t>
  </si>
  <si>
    <t>2d10</t>
  </si>
  <si>
    <t>Expérimental</t>
  </si>
  <si>
    <t>Ammo-matic</t>
  </si>
  <si>
    <t>Lance-Dynamite</t>
  </si>
  <si>
    <t>Dyn</t>
  </si>
  <si>
    <t>bras gauche</t>
  </si>
  <si>
    <t>bras droit</t>
  </si>
  <si>
    <t>j.gauche</t>
  </si>
  <si>
    <t>j.droite</t>
  </si>
  <si>
    <t>Type d'Armes</t>
  </si>
  <si>
    <t>Calibre</t>
  </si>
  <si>
    <r>
      <t xml:space="preserve">Carreaux  </t>
    </r>
    <r>
      <rPr>
        <sz val="12"/>
        <color rgb="FFFF0000"/>
        <rFont val="Calibri"/>
        <family val="2"/>
        <scheme val="minor"/>
      </rPr>
      <t>♦</t>
    </r>
  </si>
  <si>
    <t>Abstention mineure</t>
  </si>
  <si>
    <t>Abstention moyenne</t>
  </si>
  <si>
    <t>Abstention majeure</t>
  </si>
  <si>
    <t>Abstention extrême</t>
  </si>
  <si>
    <t>Abstention ultime</t>
  </si>
  <si>
    <t>A vu l'ours (mineur)</t>
  </si>
  <si>
    <t>A vu l'ours (moyen)</t>
  </si>
  <si>
    <t>A vu l'ours (majeur)</t>
  </si>
  <si>
    <t>A vu l'ours (extrême)</t>
  </si>
  <si>
    <t>A vu l'ours (ultime)</t>
  </si>
  <si>
    <t>Digestion Efficace</t>
  </si>
  <si>
    <t>Don: Accouché par les esprits</t>
  </si>
  <si>
    <t>Heyoka</t>
  </si>
  <si>
    <t>Inodore</t>
  </si>
  <si>
    <t>Patte de Velours</t>
  </si>
  <si>
    <t>Visage inscrutable</t>
  </si>
  <si>
    <t>Visage pâle</t>
  </si>
  <si>
    <t>c3</t>
  </si>
  <si>
    <t>c4</t>
  </si>
  <si>
    <t>c5</t>
  </si>
  <si>
    <t>c6</t>
  </si>
  <si>
    <t>c7</t>
  </si>
  <si>
    <t>c8</t>
  </si>
  <si>
    <t>c9</t>
  </si>
  <si>
    <t>c10</t>
  </si>
  <si>
    <t>c11</t>
  </si>
  <si>
    <t>c12</t>
  </si>
  <si>
    <t>l3</t>
  </si>
  <si>
    <t>l4</t>
  </si>
  <si>
    <t>l5</t>
  </si>
  <si>
    <t>l6</t>
  </si>
  <si>
    <t>l7</t>
  </si>
  <si>
    <t>l8</t>
  </si>
  <si>
    <t>l9</t>
  </si>
  <si>
    <t>l10</t>
  </si>
  <si>
    <t>l11</t>
  </si>
  <si>
    <t>l12</t>
  </si>
  <si>
    <t>Apatride</t>
  </si>
  <si>
    <t>Banni</t>
  </si>
  <si>
    <t>Fine Bouche</t>
  </si>
  <si>
    <t>Métis</t>
  </si>
  <si>
    <t>Opoche</t>
  </si>
  <si>
    <t>Pied Noir</t>
  </si>
  <si>
    <t>Sacrifice de sang</t>
  </si>
  <si>
    <t>Sang refroidi</t>
  </si>
  <si>
    <t>Yeux sensibles</t>
  </si>
  <si>
    <t>+2 à tous ses jets de Perception et concentrations de Détecter, Pister et Scruter</t>
  </si>
  <si>
    <t>Boussole</t>
  </si>
  <si>
    <t>Briquet à mèche</t>
  </si>
  <si>
    <t>Carte géographique d'état-major</t>
  </si>
  <si>
    <t>Canif</t>
  </si>
  <si>
    <t>Jumelles</t>
  </si>
  <si>
    <t>Barque</t>
  </si>
  <si>
    <t>Diligence</t>
  </si>
  <si>
    <t>Locomotive</t>
  </si>
  <si>
    <t>Caisse à outils</t>
  </si>
  <si>
    <t>Ether</t>
  </si>
  <si>
    <t>Piège à ours</t>
  </si>
  <si>
    <t>Pince coupante</t>
  </si>
  <si>
    <t>Bombe à mèche</t>
  </si>
  <si>
    <t>Bombe incendiaire</t>
  </si>
  <si>
    <t>TON PIRE CAUCHEMARD</t>
  </si>
  <si>
    <t>Grenade Ketchum</t>
  </si>
  <si>
    <t>40 kg</t>
  </si>
  <si>
    <t>42 kg</t>
  </si>
  <si>
    <t>44 kg</t>
  </si>
  <si>
    <t>46 kg</t>
  </si>
  <si>
    <t>48 kg</t>
  </si>
  <si>
    <t>50 kg</t>
  </si>
  <si>
    <t>52 kg</t>
  </si>
  <si>
    <t>54 kg</t>
  </si>
  <si>
    <t>56 kg</t>
  </si>
  <si>
    <t>58 kg</t>
  </si>
  <si>
    <t>60 kg</t>
  </si>
  <si>
    <t>62 kg</t>
  </si>
  <si>
    <t>64 kg</t>
  </si>
  <si>
    <t>66 kg</t>
  </si>
  <si>
    <t>68 kg</t>
  </si>
  <si>
    <t>70 kg</t>
  </si>
  <si>
    <t>72 kg</t>
  </si>
  <si>
    <t>74 kg</t>
  </si>
  <si>
    <t>76 kg</t>
  </si>
  <si>
    <t>78 kg</t>
  </si>
  <si>
    <t>80 kg</t>
  </si>
  <si>
    <t>82 kg</t>
  </si>
  <si>
    <t>84 kg</t>
  </si>
  <si>
    <t>86 kg</t>
  </si>
  <si>
    <t>88 kg</t>
  </si>
  <si>
    <t>90 kg</t>
  </si>
  <si>
    <t>92 kg</t>
  </si>
  <si>
    <t>94 kg</t>
  </si>
  <si>
    <t>96 kg</t>
  </si>
  <si>
    <t>98 kg</t>
  </si>
  <si>
    <t>100 kg</t>
  </si>
  <si>
    <t>102 kg</t>
  </si>
  <si>
    <t>104 kg</t>
  </si>
  <si>
    <t>106 kg</t>
  </si>
  <si>
    <t>108 kg</t>
  </si>
  <si>
    <t>110 kg</t>
  </si>
  <si>
    <t>112 kg</t>
  </si>
  <si>
    <t>114 kg</t>
  </si>
  <si>
    <t>116 kg</t>
  </si>
  <si>
    <t>118 kg</t>
  </si>
  <si>
    <t>120 kg</t>
  </si>
  <si>
    <t>122 kg</t>
  </si>
  <si>
    <t>124 kg</t>
  </si>
  <si>
    <t>126 kg</t>
  </si>
  <si>
    <t>128 kg</t>
  </si>
  <si>
    <t>130 kg</t>
  </si>
  <si>
    <t>132 kg</t>
  </si>
  <si>
    <t>134 kg</t>
  </si>
  <si>
    <t>136 kg</t>
  </si>
  <si>
    <t>138 kg</t>
  </si>
  <si>
    <t>140 kg</t>
  </si>
  <si>
    <t>142 kg</t>
  </si>
  <si>
    <t>144 kg</t>
  </si>
  <si>
    <t>146 kg</t>
  </si>
  <si>
    <t>148 kg</t>
  </si>
  <si>
    <t>150 kg</t>
  </si>
  <si>
    <t>36 kg</t>
  </si>
  <si>
    <t>38 kg</t>
  </si>
  <si>
    <t>30 kg</t>
  </si>
  <si>
    <t>32 kg</t>
  </si>
  <si>
    <t>34 kg</t>
  </si>
  <si>
    <t>Notes</t>
  </si>
  <si>
    <t>Signe astral</t>
  </si>
  <si>
    <t>Signe Astral</t>
  </si>
  <si>
    <t>Inflige  au  CàC des  dommages létaux,  les dégâts à mains nues font 1d6+ Force dégâts.</t>
  </si>
  <si>
    <t>+1 en Taille pour comptabiliser les niveaux de dégâts</t>
  </si>
  <si>
    <t>ETOURDISSEMENT/ ENCAISSEMENT</t>
  </si>
  <si>
    <t>Peut acheter jusqu’à trois sorts de départ supplémentaires, au prix de 2 points d’aptitude chacun</t>
  </si>
  <si>
    <t>Un  personnage non-Indien fait maintenant partie d’une tribu, et peut même y  être chamane.</t>
  </si>
  <si>
    <t>Le personnage est officier supérieur dans l'armée</t>
  </si>
  <si>
    <t>Peut pousser un grand cri, et gagner un bonus de +2 à  ses jets  de Tripes pour le reste du  round.</t>
  </si>
  <si>
    <t>+2 aux  jets  pour  comprendre ou réparer une machine, en particulier Bidouiller et Science Folle</t>
  </si>
  <si>
    <t>+2 aux jets d’Agilité quand il s’agit de traverser la glace ou la neige et +1 à tous les jets de furtivité sur ces surfaces</t>
  </si>
  <si>
    <t>L’apprentissage d’un  sort se fait seulement avec la moitié  du  temps requis. Création de sorts facilitée.</t>
  </si>
  <si>
    <t>Augmente de 1 l'agilité pour calculer l’Allure d’un personnage</t>
  </si>
  <si>
    <t>Augmente de 2 l'agilité pour calculer l’Allure d’un personnage</t>
  </si>
  <si>
    <t>Augmente de 3 l'agilité pour calculer l’Allure d’un personnage</t>
  </si>
  <si>
    <t>Augmente de 4 l'agilité pour calculer l’Allure d’un personnage</t>
  </si>
  <si>
    <t>Au  début  d’un round, peut jeter sa plus mauvaise carte et en tirer une autre, sauf s’il a tiré le Joker Noir.</t>
  </si>
  <si>
    <t>Tire une pépite supplémentaire en début de partie. Ne pourra  pas être convertie en prime à la fin de l’aventure.</t>
  </si>
  <si>
    <t>Effectue son jet de foi avec un type de dé d’un cran plus élevé en cas de péché</t>
  </si>
  <si>
    <t>Le personnage a un doux rêve dans la vie.</t>
  </si>
  <si>
    <t>Le personnage a une ambition modeste dans la vie.</t>
  </si>
  <si>
    <t>Le personnage a une ambition dans la vie.</t>
  </si>
  <si>
    <t>Le personnage a une ambition forte dans la vie.</t>
  </si>
  <si>
    <t>Le personnage a une ambition démesurée dans la vie.</t>
  </si>
  <si>
    <t xml:space="preserve">Retire 1pt dans toutes les aptitudes de Charisme sauf en Intimider où Bonus de +1 </t>
  </si>
  <si>
    <t>Retire 2pts dans toutes les aptitudes de Charisme sauf en Intimider où Bonus de +2</t>
  </si>
  <si>
    <t>Retire 3pts dans toutes les aptitudes de Charisme sauf en Intimider où Bonus de +3</t>
  </si>
  <si>
    <t>Retire 4pts dans toutes les aptitudes de Charisme sauf en Intimider où Bonus de +4</t>
  </si>
  <si>
    <t>Retire 5pts dans toutes les aptitudes de Charisme sauf en Intimider où Bonus de +5</t>
  </si>
  <si>
    <t>Alimentation peu répugnante</t>
  </si>
  <si>
    <t>Alimentation très répugnante</t>
  </si>
  <si>
    <t>Alimentation vraiment très répugnante</t>
  </si>
  <si>
    <t>Alimentation plus que répugnante</t>
  </si>
  <si>
    <t>Aura de mort faible</t>
  </si>
  <si>
    <t>Aura de mort moyenne</t>
  </si>
  <si>
    <t>Aura de mort forte</t>
  </si>
  <si>
    <t>Aura de mort extrême</t>
  </si>
  <si>
    <t>Aura de mort ultime</t>
  </si>
  <si>
    <t>Allure réduite de 25%, -2 à tous les jets d'Esquive et relatifs à la mobilité</t>
  </si>
  <si>
    <t>Allure réduite de 75%, -4 à tous les jets d'Esquive et relatifs à la mobilité</t>
  </si>
  <si>
    <t>Le personnage est prêt à tout pour obtenir le plus possible d’argent ou de pouvoir.</t>
  </si>
  <si>
    <t>Odeur impossible à manquer, Equitation, dressage et attelage ont un malus de -20. Terreur =9 (animaux)</t>
  </si>
  <si>
    <t>-4 en Perception (vue), Equitation, dressage et attelage. Dégâts de feu reçus doublés. Terreur =9 (avec tous)</t>
  </si>
  <si>
    <t>Les jets pour réparer ou utiliser une machine (bidouiller) s’effectuent avec un malus de -2</t>
  </si>
  <si>
    <t>Diminue de 1 le niveau de malus de blessure.</t>
  </si>
  <si>
    <t>Augmente de 1 le niveau de malus de blessure.</t>
  </si>
  <si>
    <t>boiteux</t>
  </si>
  <si>
    <t>pied léger</t>
  </si>
  <si>
    <t>Dés Agilité</t>
  </si>
  <si>
    <t>lambin</t>
  </si>
  <si>
    <t>Dés Force</t>
  </si>
  <si>
    <t>=Initiative</t>
  </si>
  <si>
    <t>Marcher (m/ round)</t>
  </si>
  <si>
    <t>Total pts aptitude          à dépenser</t>
  </si>
  <si>
    <t>Total pts aptitude          dépensé</t>
  </si>
  <si>
    <t>Araignée escalatrice</t>
  </si>
  <si>
    <t>Chariot à vapeur (ouvert)</t>
  </si>
  <si>
    <t>Chariot à vapeur (fermé)</t>
  </si>
  <si>
    <t>Moulin à vent</t>
  </si>
  <si>
    <t>Rouleur sur rail</t>
  </si>
  <si>
    <t>Récupérateur de vent</t>
  </si>
  <si>
    <t>Protection</t>
  </si>
  <si>
    <t>Roche fantôme (1kg pépites)</t>
  </si>
  <si>
    <t>Roche fantôme (1kg galets)</t>
  </si>
  <si>
    <t>Roche fantôme rafinée (1kg en poudre)</t>
  </si>
  <si>
    <t>Masse à amplification de force</t>
  </si>
  <si>
    <t>Fusil à harpon</t>
  </si>
  <si>
    <t>Harpon</t>
  </si>
  <si>
    <t>Pistolet lance filet</t>
  </si>
  <si>
    <t>Filet</t>
  </si>
  <si>
    <t>Lunette de visée X2</t>
  </si>
  <si>
    <t>Lunette de visée X4</t>
  </si>
  <si>
    <t>Lunette de visée X8</t>
  </si>
  <si>
    <t>Lunette de visée nocturne X2</t>
  </si>
  <si>
    <t>Lunette de visée nocturne X4</t>
  </si>
  <si>
    <t>Lunette de visée nocturne X8</t>
  </si>
  <si>
    <t>Munition Fusil Perforante X1</t>
  </si>
  <si>
    <t>Total du poids sur soi</t>
  </si>
  <si>
    <t xml:space="preserve"> '+2 aux jets de Détection pour se réveiller rapidement</t>
  </si>
  <si>
    <t>Augmente de 5 l'agilité pour calculer l’Allure d’un personnage</t>
  </si>
  <si>
    <t>-2 aux jets de Détection pour se réveiller en urgence.</t>
  </si>
  <si>
    <t>-2 à tous les jets de persuasion par rapport à ceux qu’il estime d'un niveau inférieur au sien</t>
  </si>
  <si>
    <t>Gadgets</t>
  </si>
  <si>
    <t>Bottes à réaction</t>
  </si>
  <si>
    <t>Bottes à réaction de luxe</t>
  </si>
  <si>
    <t>Bouteille d'oxygène</t>
  </si>
  <si>
    <t>Cache-poussière léger</t>
  </si>
  <si>
    <t>Cache-poussière lourd</t>
  </si>
  <si>
    <t>Chapeau blindé lourd</t>
  </si>
  <si>
    <t>Chapeau périscope</t>
  </si>
  <si>
    <t>Chapeau-revolver</t>
  </si>
  <si>
    <t>Combinaison de plongée</t>
  </si>
  <si>
    <t>Heaume profilé</t>
  </si>
  <si>
    <t>Jambières blindées légères</t>
  </si>
  <si>
    <t>Jambières blindées lourdes</t>
  </si>
  <si>
    <t>Pompe à air automatique</t>
  </si>
  <si>
    <t>Pompe à air manuelle</t>
  </si>
  <si>
    <t>Squelette mécanique</t>
  </si>
  <si>
    <t>Torse blindé</t>
  </si>
  <si>
    <t>Veste blindée légère</t>
  </si>
  <si>
    <t>Veste blindée lourde</t>
  </si>
  <si>
    <t>Antennes de vision nocturne</t>
  </si>
  <si>
    <t>Appareil spiritographique</t>
  </si>
  <si>
    <t>Casque pour Détecteur</t>
  </si>
  <si>
    <t>Détecteur de crotales</t>
  </si>
  <si>
    <t>Détecteur de roche fantôme</t>
  </si>
  <si>
    <t>Lunette de vision nocturne</t>
  </si>
  <si>
    <t>Plaque spiritographique</t>
  </si>
  <si>
    <t>Solution pour dévelloppement</t>
  </si>
  <si>
    <t>Télégramme vocal</t>
  </si>
  <si>
    <t>Unité-relais</t>
  </si>
  <si>
    <t>Unité-relais de luxe</t>
  </si>
  <si>
    <t>Auto-crêpière</t>
  </si>
  <si>
    <t>Mule mécanique</t>
  </si>
  <si>
    <t>Poêle de campagne</t>
  </si>
  <si>
    <t>Tronçonneuse</t>
  </si>
  <si>
    <t>Boucher mécanique</t>
  </si>
  <si>
    <t>Ouvrier mécanique</t>
  </si>
  <si>
    <t>Veste courte</t>
  </si>
  <si>
    <t>Veste longue</t>
  </si>
  <si>
    <t>Switzerland</t>
  </si>
  <si>
    <t>Germany</t>
  </si>
  <si>
    <t>Brazil</t>
  </si>
  <si>
    <t>Colombia</t>
  </si>
  <si>
    <t>Peru</t>
  </si>
  <si>
    <t>(Russia) Alaska</t>
  </si>
  <si>
    <t>(CSA) Arkansas</t>
  </si>
  <si>
    <t>(CSA) Texas</t>
  </si>
  <si>
    <t>(CSA) Louisiana</t>
  </si>
  <si>
    <t>(CSA) Alabama</t>
  </si>
  <si>
    <t>(CSA) Missouri</t>
  </si>
  <si>
    <t>(CSA) Mississippi</t>
  </si>
  <si>
    <t>(CSA) Tennessee</t>
  </si>
  <si>
    <t>(CSA) Florida</t>
  </si>
  <si>
    <t>(CSA) Georgia</t>
  </si>
  <si>
    <t>(CSA) Arizona</t>
  </si>
  <si>
    <t>(CSA) New Mexico</t>
  </si>
  <si>
    <t>(USA) East Wyoming</t>
  </si>
  <si>
    <t>(USA) South Nebraska</t>
  </si>
  <si>
    <t>(USA) Connecticut</t>
  </si>
  <si>
    <t xml:space="preserve">(USA) Delaware </t>
  </si>
  <si>
    <t>(USA) Idaho</t>
  </si>
  <si>
    <t>(USA) Illinois</t>
  </si>
  <si>
    <t>(USA) Indiana</t>
  </si>
  <si>
    <t>(USA) Iowa</t>
  </si>
  <si>
    <t>(USA) East Oklahoma</t>
  </si>
  <si>
    <t>(USA) Maine</t>
  </si>
  <si>
    <t>(USA) Maryland</t>
  </si>
  <si>
    <t>(USA) Massachusetts</t>
  </si>
  <si>
    <t>(USA) Michigan</t>
  </si>
  <si>
    <t>(USA) Minnesota</t>
  </si>
  <si>
    <t>(USA) Montana</t>
  </si>
  <si>
    <t>(USA) Nevada</t>
  </si>
  <si>
    <t>(USA) New Hampshire</t>
  </si>
  <si>
    <t>(USA) New Jersey</t>
  </si>
  <si>
    <t>(USA) New York</t>
  </si>
  <si>
    <t>(USA) North Dakota</t>
  </si>
  <si>
    <t>(USA) Ohio</t>
  </si>
  <si>
    <t>(USA) Oregon</t>
  </si>
  <si>
    <t>(USA) Pennsylvania</t>
  </si>
  <si>
    <t>(USA) Rhode Island</t>
  </si>
  <si>
    <t>(USA) South Carolina</t>
  </si>
  <si>
    <t>(USA) Vermont</t>
  </si>
  <si>
    <t>(CSA) Virginia</t>
  </si>
  <si>
    <t>(USA) Washington</t>
  </si>
  <si>
    <t>(CSA) Kentucky</t>
  </si>
  <si>
    <t>(USA) Wisconsin</t>
  </si>
  <si>
    <t>Porto Rico</t>
  </si>
  <si>
    <t>(Russia) Poland</t>
  </si>
  <si>
    <t>(Russia) Finland</t>
  </si>
  <si>
    <t>(Danemark) Greenland</t>
  </si>
  <si>
    <t>(Danemark) Iceland</t>
  </si>
  <si>
    <t>(Russia) Ukraine</t>
  </si>
  <si>
    <t>(Russia) Kazakhstan</t>
  </si>
  <si>
    <t>(UK) Ireland</t>
  </si>
  <si>
    <t>(UK) Scotland</t>
  </si>
  <si>
    <t>(UK) Wales</t>
  </si>
  <si>
    <t>(UK) England</t>
  </si>
  <si>
    <t>(UK) India</t>
  </si>
  <si>
    <t>(UK) Pakistan</t>
  </si>
  <si>
    <t>(UK) Australia</t>
  </si>
  <si>
    <t>(UK) New Zealand</t>
  </si>
  <si>
    <t>(UK) South Africa</t>
  </si>
  <si>
    <t>(UK) Botswana</t>
  </si>
  <si>
    <t>(UK) Sudan</t>
  </si>
  <si>
    <t>(UK) Egypt</t>
  </si>
  <si>
    <t>(UK) Kenya</t>
  </si>
  <si>
    <t>(UK) Nigeria</t>
  </si>
  <si>
    <t>(UK) Thailand</t>
  </si>
  <si>
    <t>Bolivia</t>
  </si>
  <si>
    <t>Venezuela</t>
  </si>
  <si>
    <t>Chile</t>
  </si>
  <si>
    <t>Argentina</t>
  </si>
  <si>
    <t>(Belgium) Congo</t>
  </si>
  <si>
    <t>(France) Algeria</t>
  </si>
  <si>
    <t>(France) Niger</t>
  </si>
  <si>
    <t>(France) Mali</t>
  </si>
  <si>
    <t>(France) Chad</t>
  </si>
  <si>
    <t>Iran</t>
  </si>
  <si>
    <t>Saudi Arabia</t>
  </si>
  <si>
    <t>Afganistan</t>
  </si>
  <si>
    <t>(Netherlands) Idonesia</t>
  </si>
  <si>
    <t>(France) Indochine</t>
  </si>
  <si>
    <t>(France) Madagascar</t>
  </si>
  <si>
    <t>Korea</t>
  </si>
  <si>
    <t>Austria-Hungary</t>
  </si>
  <si>
    <t>(Danemark) Danemark</t>
  </si>
  <si>
    <t>(Belgium) Belgium</t>
  </si>
  <si>
    <t>(France) France</t>
  </si>
  <si>
    <t>Greece</t>
  </si>
  <si>
    <t>(Italy) Italy</t>
  </si>
  <si>
    <t>(Netherlands) Netherlands</t>
  </si>
  <si>
    <t>Norway-Sweden</t>
  </si>
  <si>
    <t>Ottoman Empire</t>
  </si>
  <si>
    <t>(Spain) Spain</t>
  </si>
  <si>
    <t>(Spain) Morroco</t>
  </si>
  <si>
    <t>(Italy) Somalia</t>
  </si>
  <si>
    <t>Arcane (magie du sang)</t>
  </si>
  <si>
    <t>Arcane (occulte)</t>
  </si>
  <si>
    <t>Arcane (vaudou)</t>
  </si>
  <si>
    <t>Arcane (chamane)</t>
  </si>
  <si>
    <t>Capable de faire appel à des puissances surnaturelles d'origine divine</t>
  </si>
  <si>
    <t>Capable de faire appel à des puissances surnaturelles dues aux manitous</t>
  </si>
  <si>
    <t>Capable de faire appel à des puissances surnaturelles issues de la mort</t>
  </si>
  <si>
    <t>Capable de faire appel à des puissances surnaturelles de la magie du sang</t>
  </si>
  <si>
    <t>Capable de faire appel à des puissances surnaturelles dues aux esprits</t>
  </si>
  <si>
    <t>Arcane: Occulte</t>
  </si>
  <si>
    <t>Théologique</t>
  </si>
  <si>
    <t>Jeûne</t>
  </si>
  <si>
    <t>Méditation</t>
  </si>
  <si>
    <t>Latin</t>
  </si>
  <si>
    <t>Grec</t>
  </si>
  <si>
    <t>Hébreu</t>
  </si>
  <si>
    <t>Acte de foi</t>
  </si>
  <si>
    <t>Âme</t>
  </si>
  <si>
    <t>Permet de substituer son Trait d’ Âme à n’importe quel  autre Trait pour un seul jet de Trait ou d’Aptitude</t>
  </si>
  <si>
    <t>Score de terreur</t>
  </si>
  <si>
    <t>Contact</t>
  </si>
  <si>
    <t>Permet d’aider un compagnon qui à raté un jet de Tripes, par simple contact avec lui</t>
  </si>
  <si>
    <t>Permet de ralentir une chute d’1 individu par Succès obtenu</t>
  </si>
  <si>
    <t>Apaisement</t>
  </si>
  <si>
    <t>Annule les malus dus aux blessures durant toute la période d’effet du Miracle</t>
  </si>
  <si>
    <t>Permet de soustraire le résultat du jet de Foi aux points  de dégâts encaissés, les effets secondaires des attaques sont  eux aussi annulés</t>
  </si>
  <si>
    <t>Aura de bien-être</t>
  </si>
  <si>
    <t>Baragouinage</t>
  </si>
  <si>
    <t xml:space="preserve">Empêche toute communication dans l’aire d’effet, et entre l’intérieur et l’extérieur de cette aire. </t>
  </si>
  <si>
    <t>10 min</t>
  </si>
  <si>
    <t>Bénédiction</t>
  </si>
  <si>
    <t>jusqu'à la nuit</t>
  </si>
  <si>
    <t>Bénédiction des récoltes</t>
  </si>
  <si>
    <t>Ca et là</t>
  </si>
  <si>
    <t>Calme plat</t>
  </si>
  <si>
    <t>Carcan</t>
  </si>
  <si>
    <t>Cécité</t>
  </si>
  <si>
    <t>Chant de guerre</t>
  </si>
  <si>
    <t>Combustion spontanée</t>
  </si>
  <si>
    <t>Confession</t>
  </si>
  <si>
    <t>Courroux divin</t>
  </si>
  <si>
    <t>Barrière invisible</t>
  </si>
  <si>
    <t>Aide morale</t>
  </si>
  <si>
    <t>Ange salvateur</t>
  </si>
  <si>
    <t>Crocs de bois</t>
  </si>
  <si>
    <t>Derviche</t>
  </si>
  <si>
    <t>Dissipation de la magie</t>
  </si>
  <si>
    <t>Dresseur de fauves</t>
  </si>
  <si>
    <t>Empathie</t>
  </si>
  <si>
    <t>Enigme</t>
  </si>
  <si>
    <t>Essouflement</t>
  </si>
  <si>
    <t>Etourdissement</t>
  </si>
  <si>
    <t>Evasion</t>
  </si>
  <si>
    <t>Exorcisme</t>
  </si>
  <si>
    <t>Extrême onction</t>
  </si>
  <si>
    <t>Festin</t>
  </si>
  <si>
    <t>Force divine</t>
  </si>
  <si>
    <t>Forteresse</t>
  </si>
  <si>
    <t>Gifle à distance</t>
  </si>
  <si>
    <t>Guide invisible</t>
  </si>
  <si>
    <t>Imposition des mains</t>
  </si>
  <si>
    <t>Inspiration</t>
  </si>
  <si>
    <t>Intercession</t>
  </si>
  <si>
    <t>Interdiction</t>
  </si>
  <si>
    <t>Interprêtation des visions</t>
  </si>
  <si>
    <t>La sainte roulette</t>
  </si>
  <si>
    <t>Language universel</t>
  </si>
  <si>
    <t>Machine du diable</t>
  </si>
  <si>
    <t>Marche sur l'eau</t>
  </si>
  <si>
    <t>Martyre</t>
  </si>
  <si>
    <t>Médiation</t>
  </si>
  <si>
    <t>Miséricorde</t>
  </si>
  <si>
    <t>Modération</t>
  </si>
  <si>
    <t>Ordination</t>
  </si>
  <si>
    <t>Panacée</t>
  </si>
  <si>
    <t>Parole d'honneur</t>
  </si>
  <si>
    <t>Purification</t>
  </si>
  <si>
    <t>Réconfort</t>
  </si>
  <si>
    <t>Réprimande</t>
  </si>
  <si>
    <t>Résistance</t>
  </si>
  <si>
    <t>Révélation</t>
  </si>
  <si>
    <t>Sacrifice</t>
  </si>
  <si>
    <t>Sagesse de Salomon</t>
  </si>
  <si>
    <t>Sanctification d'arme</t>
  </si>
  <si>
    <t>Sanctification d'objet</t>
  </si>
  <si>
    <t>Sanctifier</t>
  </si>
  <si>
    <t>Sentinelle</t>
  </si>
  <si>
    <t>Source miraculeuse</t>
  </si>
  <si>
    <t>Vengeance divine</t>
  </si>
  <si>
    <t>Voies impénétrables</t>
  </si>
  <si>
    <t>Voile</t>
  </si>
  <si>
    <t>1 min</t>
  </si>
  <si>
    <t>jusqu'à récolte</t>
  </si>
  <si>
    <t>Vue</t>
  </si>
  <si>
    <t xml:space="preserve">Pour chaque Succès obtenu, la production de la récolte  affectée augment (une seule et unique fois par récolte) de 10%. </t>
  </si>
  <si>
    <t>Confère un bonus de +1 au jet de Tripes des personnages bénis, qui ignorent également le 1° niveau de blessure essuyé. Le Croyant peut affecter un individu par point de  Foi</t>
  </si>
  <si>
    <t>Ce Miracle permet au Croyant de créer un double intangible de lui-même, qui ne peut interférer avec le monde  physique</t>
  </si>
  <si>
    <t>Permet au Croyant  de modifier le climat</t>
  </si>
  <si>
    <t>3 rounds</t>
  </si>
  <si>
    <t xml:space="preserve">Pour chaque Succès obtenu, le Croyant peut réduire l’Aptitude de sa cible d’un point, jusqu’à un minimum de 1. </t>
  </si>
  <si>
    <t>Opposé</t>
  </si>
  <si>
    <t>10 m</t>
  </si>
  <si>
    <t>La victime de ce Miracle doit effectuer un jet de Vigueur opposé au jet d’invocation. En cas d’échec, la cible  subit un malus de -6 à tous ses jets de Traits ou d’Aptitudes,  plus un malus de -4 pour les attaques à distance.</t>
  </si>
  <si>
    <t>Spéciale</t>
  </si>
  <si>
    <t>Voix</t>
  </si>
  <si>
    <t>Permet d’embraser un objet. Ce dernier doit avoir une taille de 0,1m par point de  Foi du Croyant, et être également  très inflammable</t>
  </si>
  <si>
    <t>1 round</t>
  </si>
  <si>
    <t>3 m</t>
  </si>
  <si>
    <t>La cible doit effectuer un jet d’Âme opposé à la Foi du Croyant, chaque Degré obtenu majorant le SD de +2. En cas d’échec,  la cible se trouve dans l’incapacité de mentir</t>
  </si>
  <si>
    <t>Ce Miracle permet d’augmenter les dégâts du Croyant lors du prochain coup au but</t>
  </si>
  <si>
    <t xml:space="preserve">En invoquant ce Miracle, le Croyant peut transformer un bâton en serpent. Le bâton doit au mois faire la taille d’un  manche de hache. </t>
  </si>
  <si>
    <t>8 heures</t>
  </si>
  <si>
    <t>Augmente la force du Héros. Tant que ce Miracle fait effet, la  Force du Croyant augmente d’un type de dés par  Succès obtenu au jet de  Foi</t>
  </si>
  <si>
    <t>Soigne les blessures et maladie grave (sauf celles du Croyant et des Déterrés)</t>
  </si>
  <si>
    <t>1 défausse</t>
  </si>
  <si>
    <t>Aide la compréhension des visions abstraites</t>
  </si>
  <si>
    <t>Permet d’obtenir des Pépites supplémentaires. Un Succès se traduit par le gain d’une Pépite blanche, avec un  Degré supplémentaire par une rouge, deux par une bleue</t>
  </si>
  <si>
    <t>1,5 m</t>
  </si>
  <si>
    <t>1 heure</t>
  </si>
  <si>
    <t>1 semaine</t>
  </si>
  <si>
    <t>Avec un Succès au jet d’invocation, le Croyant obtient une attaque supplémentaire par action. Chaque Degré, augmente d’un point son Aptitude de Combat.Le Croyant est obligé de se battre au corps à corps.</t>
  </si>
  <si>
    <t xml:space="preserve">En cas de Succès, le Sort ou Maléfice pris pour cible cesse immédiatement. Ce Miracle n’a aucun effet sur les Sorts instantanés. </t>
  </si>
  <si>
    <t>Avec un Succès, le Croyant peut choisir une espèce animale dont il peut dompter un représentant par point de Foi. Sans Degré, l’animal s’allonge cessant toutes activités</t>
  </si>
  <si>
    <t>Permet au Croyant de savoir ce que ressent un autre individu (voire une créature surnaturelle)</t>
  </si>
  <si>
    <t>5 m</t>
  </si>
  <si>
    <t>Pour peu que le Croyant parvienne à la toucher, la victime perd 1D6 points de  Souffle par Succès au jet  d’invocation. Sans effet sur les Détérrés.</t>
  </si>
  <si>
    <t>Ce Miracle ouvre les portes et défait les nœuds ou les  menottes, à condition que ceux-ci retiennent le héros et/ou ses  compagnons prisonniers.</t>
  </si>
  <si>
    <t>1 m</t>
  </si>
  <si>
    <t>Chasse les esprits d’un corps qu’ils occupent. Pour exorciser un manitou le Croyant doit réussir un jet de Foiopposé au score d’Âme</t>
  </si>
  <si>
    <t>Utilisé moins de douze heures après la mort de la cible, cette dernière n’a aucune chance de revenir à la vie sous forme de zombi, vampire, fantôme, Déterré ou autre mort-vivant du même genre</t>
  </si>
  <si>
    <t>Augmente la quantité de nourriture disponible. Pour invoquer ce Miracle le Croyant doit disposer d’au moins l’équivalent d’un repas pour une personne</t>
  </si>
  <si>
    <t>Renforce bâtiments, machines infernales et véhicules. Chaque Succès obtenu au jet de Foi ajoute dix points de Durabilité</t>
  </si>
  <si>
    <t>Frappe un adversaire grâce à une force invisible. Le Miracle ne délivre aucun dégâts à la victime, mais lui fait perdre 1D4 points de Souffle par Succès obtenu.</t>
  </si>
  <si>
    <t>Indique où se trouve un objet ou un lieu éloigné</t>
  </si>
  <si>
    <t>Eclaire une zone de trois mètres de diamètre. Cette lumière est aussi intense que celle du jour, mais ne projette aucune ombre dans la zone d’effet</t>
  </si>
  <si>
    <t xml:space="preserve">Augmente l’Eloquence contre les Niveaux de Terreur. Chaque Succès rajoute un bonus de +2 au jet d’Eloquence </t>
  </si>
  <si>
    <t>Permet d’échanger un Trait avec un autre Héros. L’échange concerne le type de dés mais aussi la Coordination et affecte toutes les Aptitudes en rapport avec le Trait</t>
  </si>
  <si>
    <t>Réduit la puissance des Sorts de Huckster</t>
  </si>
  <si>
    <t>Tous les individus se trouvant à portée de voix comprennent ce que dit le personnage, même s’ils ne parlent pas la même langue</t>
  </si>
  <si>
    <t>Empêche le fonctionnement des machines infernales</t>
  </si>
  <si>
    <t>Permet au Croyant d’encaisser une blessure à la place d’un ami</t>
  </si>
  <si>
    <t>Tant que durela méditation, quiconque cherchant à se montrer agressif doit effectuer un jet d’Âme opposé au score de Foi du Héros</t>
  </si>
  <si>
    <t>Miséricorde permet d’utiliser une arme mortelle de manière à essayer d’assommer son adversaire.</t>
  </si>
  <si>
    <t>Annule temporairement les effets d’un Handicap mental</t>
  </si>
  <si>
    <t>Accorde des Miracles ou aide un nouveau Croyant</t>
  </si>
  <si>
    <t>Soigne les maladies, infections et autres poisons mais pas les blessures.</t>
  </si>
  <si>
    <t xml:space="preserve">En cas de Succès, l’interlocuteur a sans le vouloir donné sa parole d’honneur et doit faire tout son  possible pour respecter sa promesse. </t>
  </si>
  <si>
    <t xml:space="preserve">Réconfort permet de soigner une Démence à la fois, une fois par mois et par individu. </t>
  </si>
  <si>
    <t>Résistance permet au Héros de ne pas perdre de points de Souffle lorsqu’il est touché, les blessures et les modificateurs en découlant s’appliquent normalemen</t>
  </si>
  <si>
    <t>Permet de donner une Pépite à un allié sans reverser une Pépite de même valeur au Chaudron</t>
  </si>
  <si>
    <t>Limite les choix possibles. 
Pour chaque Succès obtenu au jet d’invocation, le Marshal signale une solution incorrecte au joueur</t>
  </si>
  <si>
    <t>Le Croyant dépense une Pépite et doit réussir un jet de Foi Rude (7). Rajoute sa Foi aux dégâts de l'arme.</t>
  </si>
  <si>
    <t>Les objets sanctifiés confèrent un bonus de +2 au jet d’invocation des Miracles suivants : Bénédiction des Récoltes, Exorcisme, Protection, Sanctification d’arme et Sanctifier.</t>
  </si>
  <si>
    <t>Une fois le rituel achevé, l’édifice reçoit la bénédiction du dieu</t>
  </si>
  <si>
    <t>Permet de protéger un lieu ou un individu</t>
  </si>
  <si>
    <t>Permet de traverser les solides. Avec un Succès le Croyant peut passer au travers de structures en bois, avec un Degré il peut traverser la pierre et avec deux, le métal</t>
  </si>
  <si>
    <t>Permet de lever un voile afin de cacher des individus</t>
  </si>
  <si>
    <t>Gris</t>
  </si>
  <si>
    <t>Poivre et sel</t>
  </si>
  <si>
    <t>Livre de culte de poche</t>
  </si>
  <si>
    <t>Livre de culte enluminé (grand)</t>
  </si>
  <si>
    <t>Nom du joueur</t>
  </si>
  <si>
    <t>Année du jeu</t>
  </si>
  <si>
    <t>Campagne</t>
  </si>
  <si>
    <t>Année en cours</t>
  </si>
  <si>
    <t>Ascension</t>
  </si>
  <si>
    <t>Compagnon</t>
  </si>
  <si>
    <t>Croisade</t>
  </si>
  <si>
    <t>Essence divine</t>
  </si>
  <si>
    <t>Excommunication</t>
  </si>
  <si>
    <t>Expiation</t>
  </si>
  <si>
    <t>Guérison</t>
  </si>
  <si>
    <t>Les murs de Jéricho</t>
  </si>
  <si>
    <t>Résurrection</t>
  </si>
  <si>
    <t>Seconde chance</t>
  </si>
  <si>
    <t>Séparation des eaux</t>
  </si>
  <si>
    <t xml:space="preserve">Grâce à Compagnon, le Croyant peut se faire aider par l’animal de son choix. </t>
  </si>
  <si>
    <t>1 jour</t>
  </si>
  <si>
    <t>1 mois</t>
  </si>
  <si>
    <t>2 rounds</t>
  </si>
  <si>
    <t>100 m</t>
  </si>
  <si>
    <t>Fait apparaître un brasier qui grille toutes les créatures prises dans la zone d’effet, un cercle d’un mètre de diamètre par point de Foi du Croyant</t>
  </si>
  <si>
    <t>Une fois Grand Pacificateur invoqué, toute hostilité devient quasiment impossible dans une zone, centrée sur le Croyant, de 10 mètres de rayon par point de Foi.</t>
  </si>
  <si>
    <t>30 minutes</t>
  </si>
  <si>
    <t>3 heures</t>
  </si>
  <si>
    <t>Int. Divine</t>
  </si>
  <si>
    <t>Nom du perso</t>
  </si>
  <si>
    <t>Yeux vitreux</t>
  </si>
  <si>
    <t>Religions</t>
  </si>
  <si>
    <t>Orthodoxie</t>
  </si>
  <si>
    <t>Protestantisme (Baptistes)</t>
  </si>
  <si>
    <t>Protestantisme (Episcopaux)</t>
  </si>
  <si>
    <t>Protestantisme (Luthériens)</t>
  </si>
  <si>
    <t>Protestantisme (Calvinistes)</t>
  </si>
  <si>
    <t>Protestantisme (Méthodistes)</t>
  </si>
  <si>
    <t>Protestantisme (Mormons)</t>
  </si>
  <si>
    <t>Judaisme (Orthodoxes)</t>
  </si>
  <si>
    <t>Judaisme (Réformistes)</t>
  </si>
  <si>
    <t>Judaisme (Kabbale)</t>
  </si>
  <si>
    <t>Islam (Sunnistes)</t>
  </si>
  <si>
    <t>Islam (Chi'ites)</t>
  </si>
  <si>
    <t>Islam (Souffistes)</t>
  </si>
  <si>
    <t>Bouddhisme (Zen)</t>
  </si>
  <si>
    <t>Bouddhisme (Tibétains)</t>
  </si>
  <si>
    <t>Indouisme</t>
  </si>
  <si>
    <t>Athéisme</t>
  </si>
  <si>
    <t>Agnostisme</t>
  </si>
  <si>
    <t>Syncrétisme (Taoisme)</t>
  </si>
  <si>
    <t>Syncrétisme (Shintoisme)</t>
  </si>
  <si>
    <t>Syncrétisme (Confucianisme)</t>
  </si>
  <si>
    <t>Normal</t>
  </si>
  <si>
    <t>Types de chevaux</t>
  </si>
  <si>
    <t>Courageux</t>
  </si>
  <si>
    <t>Rapide</t>
  </si>
  <si>
    <t>Malin</t>
  </si>
  <si>
    <t>Fortiche</t>
  </si>
  <si>
    <t>Fidèle</t>
  </si>
  <si>
    <t>Résistant</t>
  </si>
  <si>
    <t>Cheval (normal)</t>
  </si>
  <si>
    <t>Cheval (exeptionnel)</t>
  </si>
  <si>
    <t>A bout de souffre</t>
  </si>
  <si>
    <t>5 m/niv.</t>
  </si>
  <si>
    <t>A dormir debout</t>
  </si>
  <si>
    <t>Ambiance cauchemardesque</t>
  </si>
  <si>
    <t>A mon tour</t>
  </si>
  <si>
    <t>3/niv. blessure</t>
  </si>
  <si>
    <t>15 m/niv.</t>
  </si>
  <si>
    <t>Deux Paires</t>
  </si>
  <si>
    <t>Babioles</t>
  </si>
  <si>
    <t>Bagou</t>
  </si>
  <si>
    <t>1round/niv.</t>
  </si>
  <si>
    <t>Beau Parleur</t>
  </si>
  <si>
    <t>Brouillard surnaturel</t>
  </si>
  <si>
    <t>Bulle d'air</t>
  </si>
  <si>
    <t>2 m</t>
  </si>
  <si>
    <t>10min/niv.</t>
  </si>
  <si>
    <t>Casse-tête</t>
  </si>
  <si>
    <t>Chacun son tour</t>
  </si>
  <si>
    <t>2round/niv.</t>
  </si>
  <si>
    <t>Cherche !</t>
  </si>
  <si>
    <t>1heure/niv.</t>
  </si>
  <si>
    <t>Cheval fantôme</t>
  </si>
  <si>
    <t>Chien de garde</t>
  </si>
  <si>
    <t>Comme sa poche</t>
  </si>
  <si>
    <t>5 min</t>
  </si>
  <si>
    <t>Coup de marteau</t>
  </si>
  <si>
    <t>Coup de pouce</t>
  </si>
  <si>
    <t>25 m/niv.</t>
  </si>
  <si>
    <t>Coup de pouce mental</t>
  </si>
  <si>
    <t>Coup de tonnerre</t>
  </si>
  <si>
    <t>Coup du lapin</t>
  </si>
  <si>
    <t>La carte du mort</t>
  </si>
  <si>
    <t>Coup du lapin mental</t>
  </si>
  <si>
    <t>Crampes à l'estomac</t>
  </si>
  <si>
    <t>Crois-y mon pote!</t>
  </si>
  <si>
    <t>Déflagration mentale</t>
  </si>
  <si>
    <t>Dégage!</t>
  </si>
  <si>
    <t>Déluge de plomb</t>
  </si>
  <si>
    <t>Déshydratation</t>
  </si>
  <si>
    <t>Détecteur de mensonges</t>
  </si>
  <si>
    <t>Deux pour le prix d'un</t>
  </si>
  <si>
    <t>Déviation</t>
  </si>
  <si>
    <t>Dissimulation</t>
  </si>
  <si>
    <t>Dissipation</t>
  </si>
  <si>
    <t>Doigts de fée</t>
  </si>
  <si>
    <t>Droit au but</t>
  </si>
  <si>
    <t>Esprit frappeur</t>
  </si>
  <si>
    <t>10 m/niv.</t>
  </si>
  <si>
    <t>Essaye encore!</t>
  </si>
  <si>
    <t>Faiseur de pluie</t>
  </si>
  <si>
    <t>1 mile/niv.</t>
  </si>
  <si>
    <t>Fastoche !</t>
  </si>
  <si>
    <t>Fausse piste</t>
  </si>
  <si>
    <t>Feu de prairie</t>
  </si>
  <si>
    <t>Feu de saint Elme</t>
  </si>
  <si>
    <t>File sale bête!</t>
  </si>
  <si>
    <t>Fontaine de jouvence</t>
  </si>
  <si>
    <t>Foudre noire</t>
  </si>
  <si>
    <t>50 m/niv.</t>
  </si>
  <si>
    <t>Garde du corps</t>
  </si>
  <si>
    <t>Gélatine</t>
  </si>
  <si>
    <t>Gentil toutou</t>
  </si>
  <si>
    <t>Geyser</t>
  </si>
  <si>
    <t>20 m/niv.</t>
  </si>
  <si>
    <t>Glissement de temps</t>
  </si>
  <si>
    <t>Grouille-toi!</t>
  </si>
  <si>
    <t>Derringer Apache</t>
  </si>
  <si>
    <t>.27</t>
  </si>
  <si>
    <t>Smith et Wesson Safety Hammerless</t>
  </si>
  <si>
    <t>Hurlement</t>
  </si>
  <si>
    <t>Imposture</t>
  </si>
  <si>
    <t>Incognito</t>
  </si>
  <si>
    <t>Interprête-Minute</t>
  </si>
  <si>
    <t>5min/niv.</t>
  </si>
  <si>
    <t>Intuition</t>
  </si>
  <si>
    <t>10 sec</t>
  </si>
  <si>
    <t>La marche de l'ombre</t>
  </si>
  <si>
    <t>1mile/niv.</t>
  </si>
  <si>
    <t>La tornade du Texas</t>
  </si>
  <si>
    <t>Le baiser de la mort</t>
  </si>
  <si>
    <t>Le chant des sirènes</t>
  </si>
  <si>
    <t>Le geste qui sauve</t>
  </si>
  <si>
    <t>Léthargie</t>
  </si>
  <si>
    <t>Liens intangibles</t>
  </si>
  <si>
    <t>10 min/niv.</t>
  </si>
  <si>
    <t>2rounds/niv.</t>
  </si>
  <si>
    <t>L'œil de Moscou</t>
  </si>
  <si>
    <t>Loupé!</t>
  </si>
  <si>
    <t>Lutte d'influence</t>
  </si>
  <si>
    <t>1pt Souffle/round</t>
  </si>
  <si>
    <t>Madame Irma</t>
  </si>
  <si>
    <t>Maelström</t>
  </si>
  <si>
    <t>Mirage</t>
  </si>
  <si>
    <t>Miroir sans tain</t>
  </si>
  <si>
    <t>Monstroplantes</t>
  </si>
  <si>
    <t>Nécromancie</t>
  </si>
  <si>
    <t>Nouvelle donne</t>
  </si>
  <si>
    <t>Œil indiscret</t>
  </si>
  <si>
    <t>Oreille indiscrète</t>
  </si>
  <si>
    <t>Pattes de mouche</t>
  </si>
  <si>
    <t>Peau neuve</t>
  </si>
  <si>
    <t>Plein la vue</t>
  </si>
  <si>
    <t>Porte-à-porte</t>
  </si>
  <si>
    <t>Porte-voix</t>
  </si>
  <si>
    <t>Réanimation</t>
  </si>
  <si>
    <t>Refroidi</t>
  </si>
  <si>
    <t>Regard pénétrant</t>
  </si>
  <si>
    <t>Rouille</t>
  </si>
  <si>
    <t>Sables mouvants</t>
  </si>
  <si>
    <t>Secousse sismique</t>
  </si>
  <si>
    <t>Septième sens</t>
  </si>
  <si>
    <t>Signal d'alerte</t>
  </si>
  <si>
    <t>Sirocco</t>
  </si>
  <si>
    <t>Talisman</t>
  </si>
  <si>
    <t>Talon d'Achille</t>
  </si>
  <si>
    <t>Tempête de sable</t>
  </si>
  <si>
    <t>Tentation</t>
  </si>
  <si>
    <t>Tires-en une!</t>
  </si>
  <si>
    <t>Toile d'araignée</t>
  </si>
  <si>
    <t>Ton pire cauchemard</t>
  </si>
  <si>
    <t>Tonus</t>
  </si>
  <si>
    <t>Tour de potier</t>
  </si>
  <si>
    <t>Tous en cœur</t>
  </si>
  <si>
    <t>Trou de mémoire</t>
  </si>
  <si>
    <t>Un as dans la manche</t>
  </si>
  <si>
    <t>Vapeurs putrides</t>
  </si>
  <si>
    <t>Veine de pendu</t>
  </si>
  <si>
    <t>Victuailles</t>
  </si>
  <si>
    <t>15 min/niv.</t>
  </si>
  <si>
    <t>1 min/niv.</t>
  </si>
  <si>
    <t>5 miles/niv.</t>
  </si>
  <si>
    <t>5 rounds/niv.</t>
  </si>
  <si>
    <t>1 h/niv.</t>
  </si>
  <si>
    <t>1,5m/niv.</t>
  </si>
  <si>
    <t>2 miles/niv.</t>
  </si>
  <si>
    <t>1 round/niv.</t>
  </si>
  <si>
    <t>3 jours</t>
  </si>
  <si>
    <t>1m/niv.</t>
  </si>
  <si>
    <t>3 mètres</t>
  </si>
  <si>
    <t>1 jour/niv.</t>
  </si>
  <si>
    <t>Main/SD/coût Maint.</t>
  </si>
  <si>
    <t>Rituels</t>
  </si>
  <si>
    <t>Variable</t>
  </si>
  <si>
    <t>Mutilation</t>
  </si>
  <si>
    <t>Peinture sacrée</t>
  </si>
  <si>
    <t>Tatouages</t>
  </si>
  <si>
    <t>Faveur</t>
  </si>
  <si>
    <t>Malédiction</t>
  </si>
  <si>
    <t>Ap.</t>
  </si>
  <si>
    <t>10m/pt. Ap.</t>
  </si>
  <si>
    <t>5 rounds</t>
  </si>
  <si>
    <t>50m/pt. Ap.</t>
  </si>
  <si>
    <t>Pacte</t>
  </si>
  <si>
    <t>jusqu'à expiration</t>
  </si>
  <si>
    <t>3/5/7</t>
  </si>
  <si>
    <t>2/4</t>
  </si>
  <si>
    <t>6 rounds</t>
  </si>
  <si>
    <t>4 heures</t>
  </si>
  <si>
    <t>Marche silencieuse</t>
  </si>
  <si>
    <t>A volonté</t>
  </si>
  <si>
    <t>Dévoreur d'âme</t>
  </si>
  <si>
    <t>X</t>
  </si>
  <si>
    <t>Cochage</t>
  </si>
  <si>
    <t>Démence</t>
  </si>
  <si>
    <t>Illusion</t>
  </si>
  <si>
    <t>Excentrique</t>
  </si>
  <si>
    <t>Diabolisme</t>
  </si>
  <si>
    <t>Phobie mineure</t>
  </si>
  <si>
    <t>Phobie majeure</t>
  </si>
  <si>
    <t>Murmures</t>
  </si>
  <si>
    <t>Paranoïa</t>
  </si>
  <si>
    <t>Schizophrénie</t>
  </si>
  <si>
    <t>Limes (Assortiment de 5)</t>
  </si>
  <si>
    <t>Arcane (aztèque)</t>
  </si>
  <si>
    <t>Capable de faire appel à des puissances surnaturelles dues aux dieux aztèques</t>
  </si>
  <si>
    <t>Nahuatl</t>
  </si>
  <si>
    <t>Macahuitl (bâton à 1 main)</t>
  </si>
  <si>
    <t>Macahuitl (bâton à 2 mains)</t>
  </si>
  <si>
    <t>Macahuitl en obsidienne (bâton à 1 main)</t>
  </si>
  <si>
    <t>Lance (pointe en obsidienne)</t>
  </si>
  <si>
    <t>Flèchette</t>
  </si>
  <si>
    <t>Base 134</t>
  </si>
  <si>
    <t>Base 135</t>
  </si>
  <si>
    <t>Base 124</t>
  </si>
  <si>
    <t>Base 125</t>
  </si>
  <si>
    <t>13- jours jeune</t>
  </si>
  <si>
    <t>Vœu</t>
  </si>
  <si>
    <t>Base 126</t>
  </si>
  <si>
    <t>Base 127</t>
  </si>
  <si>
    <t>Base 128</t>
  </si>
  <si>
    <t>Secourir</t>
  </si>
  <si>
    <t>Le bénéficiaire gagne 1d6 pts de souffle pour chaque succès.</t>
  </si>
  <si>
    <t>Web</t>
  </si>
  <si>
    <t>LCELC 38</t>
  </si>
  <si>
    <t>LCELC 39</t>
  </si>
  <si>
    <t>LCELC 40</t>
  </si>
  <si>
    <t>Armure du juste</t>
  </si>
  <si>
    <t>LCELC 41</t>
  </si>
  <si>
    <t>LCELC 42</t>
  </si>
  <si>
    <t>LCELC 43</t>
  </si>
  <si>
    <t>LCELC 44</t>
  </si>
  <si>
    <t>LCELC 45</t>
  </si>
  <si>
    <t>LCELC 46</t>
  </si>
  <si>
    <t>LCELC 47</t>
  </si>
  <si>
    <t>LCELC 48</t>
  </si>
  <si>
    <t>Base 118/ LCELC 49</t>
  </si>
  <si>
    <t>LCELC 49</t>
  </si>
  <si>
    <t>Base 120/ LCELC 50</t>
  </si>
  <si>
    <t xml:space="preserve"> LCELC 50</t>
  </si>
  <si>
    <t xml:space="preserve"> LCELC 51</t>
  </si>
  <si>
    <t>Base 119/  LCELC 52</t>
  </si>
  <si>
    <t>Base 118/  LCELC 52</t>
  </si>
  <si>
    <t xml:space="preserve"> LCELC 52</t>
  </si>
  <si>
    <t xml:space="preserve"> LCELC 53</t>
  </si>
  <si>
    <t xml:space="preserve"> LCELC 54</t>
  </si>
  <si>
    <t>Base 118/ LCELC 54</t>
  </si>
  <si>
    <t xml:space="preserve"> LCELC 55</t>
  </si>
  <si>
    <t xml:space="preserve"> LCELC 56</t>
  </si>
  <si>
    <t xml:space="preserve"> LCELC 57</t>
  </si>
  <si>
    <t xml:space="preserve"> LCELC 58</t>
  </si>
  <si>
    <t>Base 119/  LCELC 59</t>
  </si>
  <si>
    <t xml:space="preserve"> LCELC 59</t>
  </si>
  <si>
    <t xml:space="preserve"> LCELC 60</t>
  </si>
  <si>
    <t xml:space="preserve"> LCELC 61</t>
  </si>
  <si>
    <t>Base 119/  LCELC 62</t>
  </si>
  <si>
    <t xml:space="preserve"> LCELC 62</t>
  </si>
  <si>
    <t xml:space="preserve"> LCELC 63</t>
  </si>
  <si>
    <t>Base 120/ LCELC 63</t>
  </si>
  <si>
    <t>Base 120/ LCELC 64</t>
  </si>
  <si>
    <t>LCELC 64</t>
  </si>
  <si>
    <t>LCELC 65</t>
  </si>
  <si>
    <t>Intervention</t>
  </si>
  <si>
    <t>Le saint patron du personnage lui confère la meilleure protection qui soit</t>
  </si>
  <si>
    <t>Traditionelle chinoise</t>
  </si>
  <si>
    <t>Les milles pattes de l'araignée</t>
  </si>
  <si>
    <t>La main du pacifiste</t>
  </si>
  <si>
    <t>Barrage flottant</t>
  </si>
  <si>
    <t>Arme de fortune</t>
  </si>
  <si>
    <t>Le tonnerre frappe le tambourin</t>
  </si>
  <si>
    <t>Pince de la mante religieuse</t>
  </si>
  <si>
    <t>L'homme de l'ombre</t>
  </si>
  <si>
    <t>Huckster 38</t>
  </si>
  <si>
    <t>Huckster 39</t>
  </si>
  <si>
    <t>Base 108/ Huckster 40</t>
  </si>
  <si>
    <t>Huckster 41</t>
  </si>
  <si>
    <t>Huckster 42</t>
  </si>
  <si>
    <t>Huckster 43</t>
  </si>
  <si>
    <t>Huckster 44</t>
  </si>
  <si>
    <t>Huckster 45</t>
  </si>
  <si>
    <t>Base 104/ Huckster 45</t>
  </si>
  <si>
    <t>Base 105/ Huckster 45</t>
  </si>
  <si>
    <t>Huckster 46</t>
  </si>
  <si>
    <t>Base 104/ Huckster 46</t>
  </si>
  <si>
    <t>Base 105/ Huckster 46</t>
  </si>
  <si>
    <t>Huckster 47</t>
  </si>
  <si>
    <t>Huckster 48</t>
  </si>
  <si>
    <t>Huckster 49</t>
  </si>
  <si>
    <t>Huckster 50</t>
  </si>
  <si>
    <t>Huckster 51</t>
  </si>
  <si>
    <t>Huckster 52</t>
  </si>
  <si>
    <t>Huckster 53</t>
  </si>
  <si>
    <t>Esprits boudeurs</t>
  </si>
  <si>
    <t>Huckster 54</t>
  </si>
  <si>
    <t>Huckster 55</t>
  </si>
  <si>
    <t>Huckster 56</t>
  </si>
  <si>
    <t>Huckster 57</t>
  </si>
  <si>
    <t>Foudres de l'âme/Âme foudroyée</t>
  </si>
  <si>
    <t>Base 107/ Huckster 58</t>
  </si>
  <si>
    <t>Huckster 58</t>
  </si>
  <si>
    <t>Huckster 59</t>
  </si>
  <si>
    <t>Huckster 60</t>
  </si>
  <si>
    <t>Huckster 61</t>
  </si>
  <si>
    <t>Huckster 62</t>
  </si>
  <si>
    <t>Huckster 63</t>
  </si>
  <si>
    <t>Base 105/ Huckster 63</t>
  </si>
  <si>
    <t>Base 106/ Huckster 64</t>
  </si>
  <si>
    <t>L'appel sauvage/ L'appel de la forêt</t>
  </si>
  <si>
    <t>Base 103/ Huckster 64</t>
  </si>
  <si>
    <t>Base 108/ Huckster 65</t>
  </si>
  <si>
    <t>Huckster 65</t>
  </si>
  <si>
    <t>Huckster 66</t>
  </si>
  <si>
    <t>Base 105/ Huckster 66</t>
  </si>
  <si>
    <t>Huckster 67</t>
  </si>
  <si>
    <t>Base 106/ Huckster 67</t>
  </si>
  <si>
    <t>Huckster 68</t>
  </si>
  <si>
    <t>Base 106/ Huckster 68</t>
  </si>
  <si>
    <t>Huckster 69</t>
  </si>
  <si>
    <t>Base 106/ Huckster 69</t>
  </si>
  <si>
    <t>Main spectrale/ Doigts spectraux</t>
  </si>
  <si>
    <t>Huckster 70</t>
  </si>
  <si>
    <t>Huckster 71</t>
  </si>
  <si>
    <t>Huckster 72</t>
  </si>
  <si>
    <t>Huckster 73</t>
  </si>
  <si>
    <t>Base 106/ Huckster 74</t>
  </si>
  <si>
    <t>Base 105/ Huckster 74</t>
  </si>
  <si>
    <t>Huckster 74</t>
  </si>
  <si>
    <t>Huckster 75</t>
  </si>
  <si>
    <t>Huckster 76</t>
  </si>
  <si>
    <t>Huckster 77</t>
  </si>
  <si>
    <t>Huckster 78</t>
  </si>
  <si>
    <t>Huckster 79</t>
  </si>
  <si>
    <t>Huckster 80</t>
  </si>
  <si>
    <t>Huckster 81</t>
  </si>
  <si>
    <t>Huckster 82</t>
  </si>
  <si>
    <t>Huckster 83</t>
  </si>
  <si>
    <t>Huckster 84</t>
  </si>
  <si>
    <t>Huckster 85</t>
  </si>
  <si>
    <t>Huckster 86</t>
  </si>
  <si>
    <t>Huckster 87</t>
  </si>
  <si>
    <t>Huckster 88</t>
  </si>
  <si>
    <t>Arcane (anahuac)</t>
  </si>
  <si>
    <t>Capable de faire appel à des puissances surnaturelles dues aux saints patrons</t>
  </si>
  <si>
    <t>Explo.</t>
  </si>
  <si>
    <t>Don du ciel</t>
  </si>
  <si>
    <t>Dons du ciel</t>
  </si>
  <si>
    <t>Ami des animaux</t>
  </si>
  <si>
    <t>Ange gardien</t>
  </si>
  <si>
    <t>Auto-discipline</t>
  </si>
  <si>
    <t>Bouclier de la foi</t>
  </si>
  <si>
    <t>Cœur de lion</t>
  </si>
  <si>
    <t>Confort</t>
  </si>
  <si>
    <t>Divine providence</t>
  </si>
  <si>
    <t>Elu</t>
  </si>
  <si>
    <t>Foi inébranlable</t>
  </si>
  <si>
    <t>Humilité</t>
  </si>
  <si>
    <t>Langues vivantes</t>
  </si>
  <si>
    <t>Longévité</t>
  </si>
  <si>
    <t>Manne providencielle</t>
  </si>
  <si>
    <t>Piété</t>
  </si>
  <si>
    <t>Providence</t>
  </si>
  <si>
    <t>Prophécie</t>
  </si>
  <si>
    <t>Résistance à la magie</t>
  </si>
  <si>
    <t>Robustesse</t>
  </si>
  <si>
    <t>Sagesse</t>
  </si>
  <si>
    <t>Sublime perception</t>
  </si>
  <si>
    <t>Santé de fer</t>
  </si>
  <si>
    <t>Vitalité</t>
  </si>
  <si>
    <t>Volonté de fer</t>
  </si>
  <si>
    <t>Zèle</t>
  </si>
  <si>
    <t>Vaudou</t>
  </si>
  <si>
    <t>Pacte du baron samedi</t>
  </si>
  <si>
    <t>River 148</t>
  </si>
  <si>
    <t>Langue amère</t>
  </si>
  <si>
    <t>2 heures</t>
  </si>
  <si>
    <t>River 149</t>
  </si>
  <si>
    <t>Trésor enfui</t>
  </si>
  <si>
    <t>Les portes du cimetière</t>
  </si>
  <si>
    <t>River 150</t>
  </si>
  <si>
    <t>Charme de succès</t>
  </si>
  <si>
    <t>Troubler l'esprit</t>
  </si>
  <si>
    <t>6 heures</t>
  </si>
  <si>
    <t>1 sem./niv.</t>
  </si>
  <si>
    <t>River 151</t>
  </si>
  <si>
    <t>Amadouer</t>
  </si>
  <si>
    <t>River 152</t>
  </si>
  <si>
    <t>Conjurer un docteur</t>
  </si>
  <si>
    <t>River 153</t>
  </si>
  <si>
    <t>Malédiction d'échec</t>
  </si>
  <si>
    <t>Envoi de rêve</t>
  </si>
  <si>
    <t>1 message</t>
  </si>
  <si>
    <t>100 miles/niv.</t>
  </si>
  <si>
    <t>River 154</t>
  </si>
  <si>
    <t>Prémonition</t>
  </si>
  <si>
    <t>jusqu'au crépuscule</t>
  </si>
  <si>
    <t>jusqu'à l'aube</t>
  </si>
  <si>
    <t>River 155</t>
  </si>
  <si>
    <t>Vadrouiller</t>
  </si>
  <si>
    <t>River 156</t>
  </si>
  <si>
    <t>Mauvais œil</t>
  </si>
  <si>
    <t>Aura d'Ogu</t>
  </si>
  <si>
    <t>Poudre empoisonnée</t>
  </si>
  <si>
    <t>River 157</t>
  </si>
  <si>
    <t>River 159</t>
  </si>
  <si>
    <t>Envoyer la mort</t>
  </si>
  <si>
    <t>Piège d'âme</t>
  </si>
  <si>
    <t>River 160</t>
  </si>
  <si>
    <t>Brise sort</t>
  </si>
  <si>
    <t>Poupée vaudou</t>
  </si>
  <si>
    <t>River 162</t>
  </si>
  <si>
    <t>2 jours</t>
  </si>
  <si>
    <t>Wanga</t>
  </si>
  <si>
    <t>12 heures</t>
  </si>
  <si>
    <t>River 163</t>
  </si>
  <si>
    <r>
      <t xml:space="preserve">Bonus </t>
    </r>
    <r>
      <rPr>
        <sz val="5"/>
        <color theme="0"/>
        <rFont val="Snow ttnorm"/>
      </rPr>
      <t>Etourdissement</t>
    </r>
  </si>
  <si>
    <t>souffle</t>
  </si>
  <si>
    <t>Monnaie de sang</t>
  </si>
  <si>
    <t>Epitaph 3 26</t>
  </si>
  <si>
    <t>Charme d'effroi</t>
  </si>
  <si>
    <t>Mien</t>
  </si>
  <si>
    <t>Cognition</t>
  </si>
  <si>
    <t>Knowledge</t>
  </si>
  <si>
    <t>Smarts</t>
  </si>
  <si>
    <t>Spirits</t>
  </si>
  <si>
    <t>Nimbleness</t>
  </si>
  <si>
    <t>Deftness</t>
  </si>
  <si>
    <t>Quickness</t>
  </si>
  <si>
    <t>Strength</t>
  </si>
  <si>
    <t>Epitaph 3 27</t>
  </si>
  <si>
    <t>Bénédiction de Gran Siligbo</t>
  </si>
  <si>
    <t>Epitaph 3 28</t>
  </si>
  <si>
    <t>Conjurer Petro</t>
  </si>
  <si>
    <t>Epitaph 3 29</t>
  </si>
  <si>
    <t>Echeveau enchevêtré</t>
  </si>
  <si>
    <t>Reliques</t>
  </si>
  <si>
    <t>Pouvoir</t>
  </si>
  <si>
    <t>Pouvoir/ Corruption</t>
  </si>
  <si>
    <t>Bâton de Moïse</t>
  </si>
  <si>
    <t>Peut se transformer en cobra/ Croyant uniquement. Si serpent tué, bâton détruit</t>
  </si>
  <si>
    <t>LCeLC 105</t>
  </si>
  <si>
    <t>Cheveux de Samson</t>
  </si>
  <si>
    <t>Force augmentée de 2 crans (max d12+4), Atouts: Cran 3, Solide comme un Roc 3/ Juif ou Force augmentée de 1 cran et Atouts à 1</t>
  </si>
  <si>
    <t>LCeLC 106</t>
  </si>
  <si>
    <t>Golem</t>
  </si>
  <si>
    <t>Permet avec un jet de Théologie à 13 de disposer d'un automate qui réponds aux ordres simples/ jet d'âme à 3 ou golem corrompu par un manitou</t>
  </si>
  <si>
    <t>Lame de l'invisible</t>
  </si>
  <si>
    <t>LCeLC 107</t>
  </si>
  <si>
    <t>Dégâts FOR +2d6. Peut lancer le miracle Sanctification (jet Foi à 5) et Exorcisme (jet de Foi à 9)/ Musulman ou jets de Foi avec un malus de -6</t>
  </si>
  <si>
    <t>Morceau de vraie croix</t>
  </si>
  <si>
    <t>Vénérable encensoir</t>
  </si>
  <si>
    <t>Jet de foi pour lancer Imposition des mains. +2 aux jets de Protection/ Chrétien obligatoire ou pas de bonus au miracle protection</t>
  </si>
  <si>
    <t>LCeLC 108</t>
  </si>
  <si>
    <t>Sacré Graal</t>
  </si>
  <si>
    <t>Guérit instananément maladies, blessures et poisons/ Chaque jour doit tirer une carte. Si un joker est tiré la relique disparait.</t>
  </si>
  <si>
    <t>Miracle: Barrière invisible sur une zone en cercle de 6m de diamètre./ fonctionne mal en plein air.</t>
  </si>
  <si>
    <t>Dernier Bowie Knife</t>
  </si>
  <si>
    <t>Epée de Cortez</t>
  </si>
  <si>
    <t>TQaTd 121</t>
  </si>
  <si>
    <t>Dégâts FOR +2d6 mais FOR +4d6/ Handicap: Intolérant (Mexicains)</t>
  </si>
  <si>
    <t>Dégâts FOR +3d8, magique: peut toucher les créatures surnaturelles et les Détérrés/ fait saigner abondamment les bras.</t>
  </si>
  <si>
    <t>Bâton de touche de Crazy Horse</t>
  </si>
  <si>
    <t>la première touche occasionnée par ce bâton sur une ennemi menaçant permet de piocher une pépite/ Indien obligatoire</t>
  </si>
  <si>
    <t>TQaTd 122</t>
  </si>
  <si>
    <t>Balles du mort</t>
  </si>
  <si>
    <t>Insigne de Wyatt Earp</t>
  </si>
  <si>
    <t>Chaque fois que le tireur jette ses dommages en utilisant ces balles il peut relancer une fois tous les 1./ Aucune</t>
  </si>
  <si>
    <t>Tous ceux qui attaquent le porteur ont un malus de -4 sur leurs jets de combat; +2 en persuasion/ne peut refuser son aide ou doit jeter sa plus haute pépite</t>
  </si>
  <si>
    <t>Voleurs de Rêve</t>
  </si>
  <si>
    <t>Plans du Docteur Hellstromme</t>
  </si>
  <si>
    <t>Augmente les jets de1 les jets  guérison nocturne et diminue les effets du handicap Terreur Nocturne/ Aucune</t>
  </si>
  <si>
    <t>Bonus de +6 en Bidouiller pour concevoir un objet à partir des plans. Leur fiabilité est de 16./ Ingrédients illégaux, sinistres et/ou immondes</t>
  </si>
  <si>
    <t>Cartes de Hoyle</t>
  </si>
  <si>
    <t>Croix du martyr</t>
  </si>
  <si>
    <t>Lorsqu'un huckster obtient au moins un succès avec ces cartes, pioche une carte supplémentaire/ Ajoute +2 sur la table des contrecoups.</t>
  </si>
  <si>
    <t>TQaTd 123</t>
  </si>
  <si>
    <t>Livre des jeux de Hoyle (ed.1769)</t>
  </si>
  <si>
    <t>Le posesseur peut apprendre tous les sorts/ Objet inestimable, extrêmement rare et très convoité</t>
  </si>
  <si>
    <t>+4 aux tests de Foi pour lancer le sort de Miracle/ Aucun.</t>
  </si>
  <si>
    <t>Arc sacré du soleil</t>
  </si>
  <si>
    <t>Tomahawk sacré du soleil</t>
  </si>
  <si>
    <t>Dégâts FOR +4d6 contre les créatures maléfiques et les détérrés ayant perdu le Dominion/ Obligé de combattre pour les Sioux.</t>
  </si>
  <si>
    <t>TQaTd 124</t>
  </si>
  <si>
    <t>+4 sur les test de Tirs, Dégâts FOR +3d6/  Obligé de combattre pour les Sioux.</t>
  </si>
  <si>
    <t>Symbole maudit</t>
  </si>
  <si>
    <t>Six-coups de Wild Bill</t>
  </si>
  <si>
    <t>Quiconque se sert de ce pistolet à moins qu'il ne se plante peut relancer tous les 1./ le porteur subit +2d6 dégâts à chaque fois qu'il subit une atk dans le dos</t>
  </si>
  <si>
    <t>Collier de Belle Starr</t>
  </si>
  <si>
    <t>Atout: belle Gueule/ Bonus de l'atout Belle Gueule doublés pour les malandrins et hors-la-loi</t>
  </si>
  <si>
    <t>Huckster 101</t>
  </si>
  <si>
    <t>Derringer de Luke Short</t>
  </si>
  <si>
    <t>Aucun malus de visée à moins de 3m; bonus de +5 pour le Dissimuler/ A plus de 3m -5 à tous les jets, Handicap Ennemi à 1 point</t>
  </si>
  <si>
    <t>Dés fétiches</t>
  </si>
  <si>
    <t>Jetons de Hoyle</t>
  </si>
  <si>
    <t>Jeu de cartes de Buffalo Bill</t>
  </si>
  <si>
    <t>Menottes de Biren</t>
  </si>
  <si>
    <t>Huckster 102</t>
  </si>
  <si>
    <t>Lorsqu'un huckster subit un contrecoup il jette 2D6: 7 ou 11: Aucun contrecoup, 2 ou 12: deux contrecoups au lieu d'un.</t>
  </si>
  <si>
    <t>Dépenser un jeton permet d'obtenir un résultat minimum de 2 Paires ou d'augmenter de 1 le cran de réussite/ tire une carte en plus uniqement pour le contrecoup et un Joker cause toujours un contrecoup.</t>
  </si>
  <si>
    <t>Enpêche tout contact avec les Terres de chasse et donc la magie qui en découle. Les Détérré qui les portent perdent 1 Souffle par jour/ Aucun.</t>
  </si>
  <si>
    <t>Nonocle d'Alabaster</t>
  </si>
  <si>
    <t>Patte de lapin</t>
  </si>
  <si>
    <t>Petit traité de Whist</t>
  </si>
  <si>
    <t>Huckster 103</t>
  </si>
  <si>
    <t>Permet de jetter 7ème Sens avec deux paires pour 1pt de Souffle/ tirer une carte: si Joker: Jet de tripes à 11 réussi ou le marshal jette 4d6 sur la table de Terreur.</t>
  </si>
  <si>
    <t>Atout: Veinard/ Quand il se plante subit les effets du Handicap Pas de Bol sans pouvoir utiliser Veinard pour le contrer comme il vient de se planter.</t>
  </si>
  <si>
    <t>Diminue de moitié le temps de création des sorts et bonus de +4 pour y parvenir/ test occultisme à 9 réussi ou subit un contrecoup avec un malus de +2</t>
  </si>
  <si>
    <t>Scie de Zarkhov</t>
  </si>
  <si>
    <t>Permet de créer des zombies/ Handicap: Ambition (ne peut s'empêcher de prendre tous les risques, de défier tout le monde,… pour être reconnu)</t>
  </si>
  <si>
    <t>Huckster 104</t>
  </si>
  <si>
    <t>Holsters d'Allison</t>
  </si>
  <si>
    <t>Fonctionne comme un hoslter rapide avec un bonus supplémentaire de +2/ Handicap: Boiteux (claudiquement)(-3)</t>
  </si>
  <si>
    <t>Law Dogs 81</t>
  </si>
  <si>
    <t>Sang du Kid</t>
  </si>
  <si>
    <t>Pistolets fantômes</t>
  </si>
  <si>
    <t>Law Dogs 82</t>
  </si>
  <si>
    <t>Jeu de cartes de Hardin</t>
  </si>
  <si>
    <t>Donne un point d'armure contre les armes à feu/ ne s'applique pas aux coups de feu tirés par Hardin lui-même</t>
  </si>
  <si>
    <t>Bottes hantées</t>
  </si>
  <si>
    <t>Un personnage tué alors qu'il porte ces bottes tire 3 cartes de plus pour déterminer s'il devient un détérré/ ne peuvent être retirées tant que le personnage vit, aucun miracle ne fonctionne sur le porteur</t>
  </si>
  <si>
    <t>N'importe quel revolver .45 sur lequel il est adapté ne doit jamais être rechargé/ Aucun mais est inestimable et très recherché</t>
  </si>
  <si>
    <t>Barillet toujours plein de Jack Vermillon</t>
  </si>
  <si>
    <t>Balle avec ton nom dessus</t>
  </si>
  <si>
    <t>Corde de Parker</t>
  </si>
  <si>
    <t>Eperons de Tom Smith</t>
  </si>
  <si>
    <t>Soustrait 4 aux jets de Vigueur de toute personne qui serait pendue au bout/ Handicap: Sanguinaire</t>
  </si>
  <si>
    <t>S'il n'a pas de dé en intimider donne 4d6. sinon, augmente le niveau de dés d'Intimider d'un rang (max d10) puis un bonus de +2 en Intimider./ handicap: méchant comme une teigne.</t>
  </si>
  <si>
    <t>Vigor</t>
  </si>
  <si>
    <t>Magie du Sang</t>
  </si>
  <si>
    <t>Cane de Lucifer</t>
  </si>
  <si>
    <t>TBCUA 119</t>
  </si>
  <si>
    <t>Peut drainer l'énergie d'un mourrant dans un rayon de 10m. Pour chaque Trait d'Âme de la cible: guérit un niv. de blessure ou 5 Souffle ou augmente un Trait physique d'autant pdt 1d6 heure./ 1 pt de Corruption par usage.</t>
  </si>
  <si>
    <t>Analyse de Hoyle par Pembroke</t>
  </si>
  <si>
    <r>
      <t xml:space="preserve">Tant qu'il lit ce livre au moins 2h par semaine un huckster gagne l'avantage </t>
    </r>
    <r>
      <rPr>
        <i/>
        <sz val="8"/>
        <color theme="1"/>
        <rFont val="Calibri"/>
        <family val="2"/>
        <scheme val="minor"/>
      </rPr>
      <t xml:space="preserve">Vieux de la vieille </t>
    </r>
    <r>
      <rPr>
        <sz val="8"/>
        <color theme="1"/>
        <rFont val="Calibri"/>
        <family val="2"/>
        <scheme val="minor"/>
      </rPr>
      <t>et peut tirer une carte supplémentaire/ A chaque fois que le huckster doit subir un contrecoup, en subit 2 à la place.</t>
    </r>
  </si>
  <si>
    <t>Symbole impie</t>
  </si>
  <si>
    <t>TBCUA 120</t>
  </si>
  <si>
    <t>Bible familiale des Whateley</t>
  </si>
  <si>
    <t>Le posesseur peut apprendre tous les sorts de magie Noire jusqu'au niveau 5. Peut ouvrir un portail vers les Terres de Chasse/ Handicap: Terreurs Nocturnes et chaque lecture demande un jet de Tripes à 9.</t>
  </si>
  <si>
    <t>Catholicisme (Anahuac)</t>
  </si>
  <si>
    <t>Paganisme (Chamanisme)</t>
  </si>
  <si>
    <t>Paganisme (Magie Noire)</t>
  </si>
  <si>
    <t>Paganisme (Animisme)</t>
  </si>
  <si>
    <t>Paganisme (Vaudouisme)</t>
  </si>
  <si>
    <t>Bible des Mormons (1ère édition)</t>
  </si>
  <si>
    <t>Donne +2aux jets de Foi/ Mormons uniquement</t>
  </si>
  <si>
    <t xml:space="preserve">Vapeurs Caustiques </t>
  </si>
  <si>
    <t>Huile Exfoliante</t>
  </si>
  <si>
    <t>Courage Liquide</t>
  </si>
  <si>
    <t>Tonic d'Elevation Métabolique</t>
  </si>
  <si>
    <t xml:space="preserve">Inflammateur Oral </t>
  </si>
  <si>
    <t>Baume Palliatif</t>
  </si>
  <si>
    <t>Tourniquet dans une Bouteille</t>
  </si>
  <si>
    <t>Lubrifiant Universel</t>
  </si>
  <si>
    <t>Peinture Dé-Pigmentative</t>
  </si>
  <si>
    <t>Fluide d'embaumement</t>
  </si>
  <si>
    <t>Désensibilateur Tactile</t>
  </si>
  <si>
    <t>Gaz de peur</t>
  </si>
  <si>
    <t>North 127</t>
  </si>
  <si>
    <t>Pommade régénérante</t>
  </si>
  <si>
    <t>Baume d'esprit</t>
  </si>
  <si>
    <t>North 128</t>
  </si>
  <si>
    <t>Nitro en deux parties</t>
  </si>
  <si>
    <t>North 129</t>
  </si>
  <si>
    <t>Crème de disparition</t>
  </si>
  <si>
    <t>Langue des signes (Indien)</t>
  </si>
  <si>
    <t>Signaux de fumée</t>
  </si>
  <si>
    <t>Bonnet de guerre indien</t>
  </si>
  <si>
    <t>Tipi</t>
  </si>
  <si>
    <t>Atl-atl</t>
  </si>
  <si>
    <t>Bâton de guerre indien</t>
  </si>
  <si>
    <t>Tomahawk (tête de fer)</t>
  </si>
  <si>
    <t>Tomahawk (tête de pierre)</t>
  </si>
  <si>
    <t>10= Parties vitales                        +2 dés aux dégâts</t>
  </si>
  <si>
    <t xml:space="preserve">Permanent </t>
  </si>
  <si>
    <t>Oindre</t>
  </si>
  <si>
    <t>Hex 10</t>
  </si>
  <si>
    <t>Bonne un bonus de Charisme (Trait et Aptitudes) égal au niveau de Foi du lanceur de la même confession que la cible à celle-ci.</t>
  </si>
  <si>
    <t>Siège anxieux</t>
  </si>
  <si>
    <t>Hex 11</t>
  </si>
  <si>
    <t>De la poussière à la poussière</t>
  </si>
  <si>
    <t>Transfère et cumule les malus (et uniquement ceux-ci, pas les blessures ni les pertes de souffle) de blessures de la cible vers le lanceur du sort pour la durée de celui-ci</t>
  </si>
  <si>
    <t>Porter la croix</t>
  </si>
  <si>
    <t>Consoler</t>
  </si>
  <si>
    <t>Nd de Tripes</t>
  </si>
  <si>
    <t>Hex 12</t>
  </si>
  <si>
    <t>Permet de supprimer les effets mineurs et à court terme uniquement dûs à un jet de Tripes manqué en réussissant à lancer ce miracle.</t>
  </si>
  <si>
    <t>Jeûne divin</t>
  </si>
  <si>
    <t>Une fois invoqué, ce Miracle permet au Croyant de marcher sur l’eau comme sur la terre ferme, qu’il s’agisse d’une mare ou d’une mer déchaînée</t>
  </si>
  <si>
    <t>Permet de transformer un objet cylindrique en arme. Elle fait des dégâts égaux à la Force + 1d6 +1 par rang de succès obtenus à l'invocation de ce sort. L'arme n'est pas magique et se manipule avec Bagarre.</t>
  </si>
  <si>
    <t>Machoire d'un âne</t>
  </si>
  <si>
    <t>Jugement de l'injuste</t>
  </si>
  <si>
    <t>Tant que dure le sort converti le malus de blessure le plus élevé en bonus aux tests et dégâts uniquement contre la cible douée d'intelligence qui les as causés.</t>
  </si>
  <si>
    <t>Coup d'opportunité</t>
  </si>
  <si>
    <t>Hex 14</t>
  </si>
  <si>
    <t>Persévérance</t>
  </si>
  <si>
    <t>Hex 15</t>
  </si>
  <si>
    <t>Prières des fidèles</t>
  </si>
  <si>
    <t>3 à 13</t>
  </si>
  <si>
    <t>Eteindre</t>
  </si>
  <si>
    <t>Chute du moineau</t>
  </si>
  <si>
    <t>Permet d'être en permanance au courant de l'état de santé d'une cible consentente (à portée au lancer du sort). Tant que le sort dure peut sacrifier des pépites pour éviter des blessures à la cible quelque soit la distance.</t>
  </si>
  <si>
    <t>Force de la communauté</t>
  </si>
  <si>
    <t>Hex 16</t>
  </si>
  <si>
    <t>Dépensez votre meilleure carte: Donne un bonus de +X aux jets de Tripes à tte personne sauf vous ayant au moins 1 pt de Foi (la même que la vôtre) à portée du sort où X égale le nombre de ces personnes (sauf vous).</t>
  </si>
  <si>
    <t>Le Seigneur fournit</t>
  </si>
  <si>
    <t>Bonus de +5 en Dénicher, +2 pour chaque degré de réussite en ville, même bonus en Survie en milieu naturel. Ne trouve pas toujours ce que l'on souhaite mais souvent ce dont on a besoin.</t>
  </si>
  <si>
    <t>Eau de vie</t>
  </si>
  <si>
    <t>Eau en vin</t>
  </si>
  <si>
    <t>Hex 17</t>
  </si>
  <si>
    <t>LCETLC 73</t>
  </si>
  <si>
    <t>LCETLC 74</t>
  </si>
  <si>
    <t>LCETLC 75</t>
  </si>
  <si>
    <t>LCETLC 76</t>
  </si>
  <si>
    <t>LCETLC 72</t>
  </si>
  <si>
    <t>LCETLC 77</t>
  </si>
  <si>
    <t>LCETLC 78</t>
  </si>
  <si>
    <t>LCETLC 79</t>
  </si>
  <si>
    <t>Clarté d'esprit</t>
  </si>
  <si>
    <t>Hex 18</t>
  </si>
  <si>
    <t>Favori des cieux</t>
  </si>
  <si>
    <t>Bon Karma</t>
  </si>
  <si>
    <t>Jugeote</t>
  </si>
  <si>
    <t>Héritage de St Patrick</t>
  </si>
  <si>
    <t>De la poussière à la rouille</t>
  </si>
  <si>
    <t>Hex 19</t>
  </si>
  <si>
    <t>Fourneau ardent</t>
  </si>
  <si>
    <t>3m</t>
  </si>
  <si>
    <t>Trait/CA</t>
  </si>
  <si>
    <t>Main/SD/ coût Maint.</t>
  </si>
  <si>
    <t>Effet/ Notes</t>
  </si>
  <si>
    <t xml:space="preserve">Avertit instantanément de l’intrusion de toute créature surnaturelle franchissant la barrière invisible de 5m de diamètre. Stoppée pour le 1° round, au 2° elle peut  pénétrer en réussissant un jet d’ Âme Difficile (9) </t>
  </si>
  <si>
    <t>Effet</t>
  </si>
  <si>
    <t>Tant que dure le sort, confère un Bonus en Bluff, Intimider ou Ridiculiser: As: +2 Paire: +3 Valets: +4 2 Paires: +5 Brelan: +6 Quinte: +7 Flush: +8 Full: +9 Carré: +10 Quinte Flush: +11 Royal Flush: +12</t>
  </si>
  <si>
    <t>Permet de récupérer du Souffle: As: 1 souffle récupéré/45 sec Paire: 1S/30 sec Valets:  1S/20 sec 2 Paires:  1S/15 sec Brelan: 1S/10 sec  Quinte:  1S/5 sec Flush ou mieux: tout le souffle est récupéré instantanément.</t>
  </si>
  <si>
    <t>Toute créature maléfique surnaturelle doit réussir un jet d’Âme opposé à la Foi du personnage. En cas d’échec elle ne peut pas toucher le personnage ni lui faire le moindre mal, du moins de manière directe</t>
  </si>
  <si>
    <t>Retourne les blessures subies à l’adversaire. Ce Miracle ne fonctionne que pour la dernière blessure en date et seulement contre celui qui en est responsable.</t>
  </si>
  <si>
    <t>Fait apparaître de l’eau à même le sol. L’eau jaillissant est pure, potable et fraîche.</t>
  </si>
  <si>
    <t>Le héron guide la flèche</t>
  </si>
  <si>
    <t>Le tigre secoue sa crinière</t>
  </si>
  <si>
    <t>+4 en Scruter. Alors que tes yeux luisent ils te permettent de voir ce que d'autres ne voient pas: Niv.1: A Distance, Niv,2: détecte la chaleur, Niv,3: Voir de Nuit, Niv.4: Voir même dans les Ténèbres, Niv,5: Lire l'Âme</t>
  </si>
  <si>
    <t>Dote le personnage de Griffes dont les dégâts sont augmentés selon le niveau: Niv.1: 1d4, Niv.2: 1d6 ,Niv.3: 1d8 ,Niv.4: 1d10, Niv.5: 1d12</t>
  </si>
  <si>
    <t>Régénère plus vite que la normale et peut tenter un jet de Guérison toutes les: Niv.1: 12h, Niv.2: 6h, Niv.3: 3h, Niv.4: toutes les heures, Niv.5: 10 minutes.</t>
  </si>
  <si>
    <t>5 à 9</t>
  </si>
  <si>
    <t>Permet d'attirer l'attention des esprits par une danse. Danse simple SD 9 Vitesse: 1h; Danse compliquée SD 7 Vitesse: 2h; Danse élaborée SD 5 Vitesse: 4h</t>
  </si>
  <si>
    <t>Chaque jour le chaman doit réussir un test de Vigueur de 5+Nbre de jour déjà jeunés. Echec = perdre 1d6 Souffle. A la fin du jeune il teste le ND du Rituel. En cas de succès il gagne 3 pts d'appaisement par succès et dégré.</t>
  </si>
  <si>
    <t>Permet de s'automutiler: Blessure mineure temporaire: SD 11, Vitesse 1; Blessure mineure permanente SD 7, Vitesse 2; Blessure majeure permanente SD 5, Vitesse 3</t>
  </si>
  <si>
    <t>7 à 11</t>
  </si>
  <si>
    <t>5 à 11</t>
  </si>
  <si>
    <t>Permet de marquer la cible pour y attirer les esprits: Peinture simple: 10 minutes SD 11; Peinture complexe: 30 minutes SD 9; Peinture élaborée: 2h SD 7</t>
  </si>
  <si>
    <t>Un vœu est une promesse faite un esprit particulier de la nature et qui doit être tenue en respectant et honorant l'esprit en question et sa sphère d'influence.</t>
  </si>
  <si>
    <t>Pts d'appaisement</t>
  </si>
  <si>
    <t>5 à 7</t>
  </si>
  <si>
    <t>Pts de Ki max</t>
  </si>
  <si>
    <t>Ki Actuel</t>
  </si>
  <si>
    <t>Points Corrupt.</t>
  </si>
  <si>
    <t>Permet de s'entailler la peau: Petite cicatrice (3-9cm) SD7, Vitesse 1, 1d6 pts de Souffle de dommages; Grande cicatrice (&gt;12 cm) SD5,Vitesse 2, 2d6 pts de Souffle de dommages</t>
  </si>
  <si>
    <t>Chaque pt. d'apaisement investi augmente de +1 pour toucher avec une arme de jet ou de lancer pour les 5 prochains rounds.</t>
  </si>
  <si>
    <t>Chaque pt. d'apaisement investi augmente de +1 l'aptitude Pister tant que dure le sort. Cela facilite la localisation des proies même si le chaman ne peut pas la voir car un lueur mystique entoure les traces.</t>
  </si>
  <si>
    <t>Ne peut être utilisé que pendant un orage. Demande aux esprits de frapper ses ennemis. Si le rituel est réussi, la cible subit 3d10 dégâts (+1d10 par point d'Ap. supplémentaire aux 2 de base) au torse.</t>
  </si>
  <si>
    <t>2 à 6</t>
  </si>
  <si>
    <t>Permet de guérir totalement et instantanément une zone en dépenssant un nbre suffisant d'apaisement: Légère 2pts, Sérieuse 3pts, Grave 4pts, Critique 5pts, Définitive 6pts</t>
  </si>
  <si>
    <t>Permet de revétir la forme d'un animal naturel: Loup, Aigle, Coyote ou Poisson tant que le rituel est actif. Les vêtements et l'équipement tombe au sol. Peut revenir à sa forme initiale à volonté.</t>
  </si>
  <si>
    <t>Permet de voir à travers les yeux d'un aigle à proximité mais ne peut rien faire d'autre que rester en transe. Pour 4 pts il contrôle ses mouvements. Si l'animal est bléssé test d'âme du même SD ou subit la blessure.</t>
  </si>
  <si>
    <t>Augmente l'allure du personnage d'1d4 mètre par round. Chaque point d'appaisement dépensé en plus du premier augmente le bonus de mouvement d'un type de dé</t>
  </si>
  <si>
    <t>Augmente d'un niveau le rang de dé par point d'apaisement dépensé l'esquive, le combat ou tirer: arc  de la personne qui reçoit les peintures de guerre</t>
  </si>
  <si>
    <t>Augmente d'un niveau le rang de dé par point d'apaisement dépensé la Force  de l'indien ayant au moins un point de Foi qui reçoit la faveur.</t>
  </si>
  <si>
    <t>Permet de poser une question aux esprits qui répondent toujours de manière mystique et vraie par l'intermédiaire du Marshal. La dépense de points d'apaisement dépend de l'importance de la question.</t>
  </si>
  <si>
    <t>2 à 5</t>
  </si>
  <si>
    <t>Si le rituel est réussi, la cible tombe malade: 3pts: maladie mineure, 5 pts maladie chronique, 7 pts maladie mortelle</t>
  </si>
  <si>
    <t>2 à 17</t>
  </si>
  <si>
    <t>Permet d'enchanter un Fétiche avec une autre faveur pour un usage ultérieur. -2 aux Rituels par fétiche non utilisé. Le coût en pts d'Ap. égale 2X celui de la faveur liée. Le fétiche peut-être déclanché par un jet d'Âme à 5.</t>
  </si>
  <si>
    <t>Donne un bonus de +8 aux jets de Furtivité. Celui qui reçoit la faveur ne laisse aucune trace derrière lui. Ne fonctionne pas à moins de 50m d'un lieu habité.</t>
  </si>
  <si>
    <t>Donne la capacité de se servir d'un objet comme d'une arme de fortune. Les dégâts sont égaux à la Force. Octroie un bonus de défense: Niv.1: 1d6, Niv.2 1d6+1, Niv.3: 1d8+1, Niv.4: 1d10+2, Niv.5: 1d12+2</t>
  </si>
  <si>
    <t>Permet en touchant et réussissant un jet de Ki opposé (mais sans faire de dégâts) de diminuer la réserve de Ki de l'adversaire de 1d6 pts.</t>
  </si>
  <si>
    <t>Permet en réussissant un jet de Ki égal au SD de la valeur des dégâts de capturer des projectiles au vol. Le calibre max est déterminé par le niveau: Niv.1: d4, Niv.2: d6, Niv.3: d8, Niv.4:d10, Niv.5 d12</t>
  </si>
  <si>
    <t>Quand le perso doit tomber étourdi, jet de Ki + Niv de maitrîse  (SD 5 +1 par tranche de 10m). Si réussi l'adversaire doit faire un jet d'étourdissement (SD 5 + Niv de maitrise). Si raté: Etourdi et perte de 2d6 pts de Ki.</t>
  </si>
  <si>
    <t>Charge une atk à mains nues d'énergie qui si elle porte est transférée dans l'adversaire. Inflige alors au début de chaque round (et diminue d'un cran de dé): Niv.1 1d4, Niv,2: 1d6, Niv.3: 1d8; Niv.4: 1d10, Niv.5: 1d12.</t>
  </si>
  <si>
    <t>Permet de lancer et de récupérer au vol un croissant volant sans pénalité de portée (Max 5m par niveau de maitrise).</t>
  </si>
  <si>
    <t>Après un attaque de ce type portée à la tête, l'adversaire subit un malus à tous ses jets (ou un bonus équivalent est accordé à l'attaquant si l'adversaire est maudit) égal au niveau de maitrise pendant 1d6 rounds.</t>
  </si>
  <si>
    <t>Permet en réussisant un jet d'Astuce de (5+ Niveau de maitrise de l'adversaire) d'utiliser le même pouvoir Ki observé pendant 1 round par niveau de maitrise en Esprit Vif.</t>
  </si>
  <si>
    <t>Permet au terme d'une profonde méditation de dépenser autant de pts de Ki que voulu pour récupérer 1d6 pts de Souffle (relancer les 1) par pt de Ki dépensé. Possible en combat mais ne peut rien faire d'autre.</t>
  </si>
  <si>
    <t>Permet d'utiliser des attaques à mains nues normalement au CàC à une distance maximale qui dépend du niveau: Niv.1: 2m, Niv.2: 5m, Niv.3: 10m, Niv.4: 15m, Niv.5: 20m</t>
  </si>
  <si>
    <t>Permet de lancer et de récupérer au vol une griffe volante.</t>
  </si>
  <si>
    <t>Permet de lancer et de récupérer au vol une guillotine volante. (Attaque à -6 à la tête). Tue net en décapitant l'adversaire si le coup porte.</t>
  </si>
  <si>
    <t>Permet en sacrifiant l'action suivante de déplacer une blessure reçue vers un autre localisation par niveau de maitrise. Ne fonctionne pas s'il n'y a plus d'action disponible.</t>
  </si>
  <si>
    <t>Pour chaque tranche de 5pts de Ki dépensés au moment où une attaque à main nue frappe, ajoute un dé aux dégâts et perds autant de souffle: Niv.1: d4, Niv.2: d6, Niv.3: d8, Niv.4:d10, Niv.5 d12</t>
  </si>
  <si>
    <t>Ne peut être utilisé qu'avec une arme de jet ou un arc et doit être déclaré avant l'attaque. Si le coup porte, le jet de localisation des dégâts peut être déplacé d'un point par niveau de maitrise.</t>
  </si>
  <si>
    <t xml:space="preserve">Permet en utilisant une action grâce à avec un jet de (Dextérité +Niv. de maitrise) opposé à l'attaque du tireur d'interposer un objet entre lui et sa cible avant qu'un projectile ne l'atteigne. (Max d12 dégâts) </t>
  </si>
  <si>
    <t>A chaque fois que le personnage est étourdi il peut activer ce pouvoir pour ne pas devoir faire de jet de Vigueur. Tant que le pouvoir est actif, ne subit que les pénalités de blessures qui dépasse le niveau de maitrise.</t>
  </si>
  <si>
    <t>Tant que le pouvoir est actif, tous les ennemis qui tentent de toucher le héros à distance subissent un malus à leurs jets égal au niveau de maitrise.</t>
  </si>
  <si>
    <t>Permet en réussissant un attaque d'arts martiaux au lieu de faire des dégâts de voler 1d4 pts de Ki à l'adversaire par succès obtenu. (1pt récupéré pour 2pts volés à l'adversaire)</t>
  </si>
  <si>
    <t>Permet en se défaussant de X cartes restantes en main, de porter X attaques à mains nues au cours d'une seule et même action. Nbre d'adversaires différents max= Niv. De maitrise tant qu'ils sont à portée.</t>
  </si>
  <si>
    <t>Jet de Ki de 3 +2 par cible. En cas de succès les ki sont harmonisés et donnent un bonus de 2 à la taille pour résister aux dégâts. Le nombre maximum de cibles est égal au niveau de maîtrise.</t>
  </si>
  <si>
    <t>Permet en réussissant un jet de Vigueur contre le SD d'une blessure de diminuer la gravité d'un rang. Le temps nécéssaire dépend du niveau de maitrise: Niv.1: 1h, Niv.2: 30min, Niv.3: 10min, Niv.4:5min, Niv.5 1min</t>
  </si>
  <si>
    <t>Tant qu'elle porte le gris-gris préparé donne à la victime un malus à tous les jets de Charisme, égal au niveau de jet de langue amère.</t>
  </si>
  <si>
    <t>Tant que le sort perdure rend un portail (tel une porte ou une fenêtre) infranchissable pour les M-V simples et les Déttérés. Les M-V plus puissants et autres abominations sont justes stoppés un round.</t>
  </si>
  <si>
    <t>Ce gris-gris donne à son porteur un bonus égal au niveau du sort du lanceur dans une spécialité de Carrière ou Métier. Le gris-gris doit contenir des objets en rapport avec l'occupation choisie.</t>
  </si>
  <si>
    <t>En cas de Succès du jet d’invocation, la victime est étourdie et perd son Action suivante. Chaque Degré obtenu au jet de Foi rallonge le temps d’hésitation en faisant perdre une Action supplémentaire à l’ennemi</t>
  </si>
  <si>
    <t>Permet de guérir totalement et instantanément une zone en battant le SD de sort: Légère SD5, Sérieuse SD7, Grave SD9, Critique SD11, Définitive ou maladie simple SD13</t>
  </si>
  <si>
    <t>Ce gris-gris donne à son porteur un malus égal au niveau du sort du lanceur dans une spécialité de Carrière ou Métier. Le gris-gris doit contenir des objets en rapport avec l'occupation choisie.</t>
  </si>
  <si>
    <t>Permet d'obtenir des malus ou bonus aux jets d'aptitudes en fonction d'un tirage de cartes. Voir le détail du sort dans River o'Blood p.155</t>
  </si>
  <si>
    <t>Test de Foi vs. l’Astuce de sa cible. Si le Croyant s’impose, la victime se désintéresse de  tout pour essayer de résoudre l’énigme, elle est consciente de ce qui l’entoure mais est trop absorbée pour y prêter attention.</t>
  </si>
  <si>
    <t>Permet de mettre de côté une carte quand appelé sans agir autrement qu'en se déplaçant (Nbre de cartes max= Niv. de maitrise). Pour chaque carte mise de côté, +2 au jet d'attaque et aux dégâts de la prochaine attaque.</t>
  </si>
  <si>
    <t>Permet en utilisant une atk d'arts martiaux de projeter un adversaire au lieu de lui faire des dégâts. Chaque succès le repousse de 3m. La victime perds 2d6 pts de souffle et doit réussir un jet d'étourdissement de 5+Niv de maitrise.</t>
  </si>
  <si>
    <t>Permet en réussissant un atk d'arts martiaux (aucun dégât) de faire un test (Arts martiaux + niv. de maitrise) opposé à la vigueur. Réussi: La victime la différence en pts de souffle et doit réussir un jet d'étourdissement égal.</t>
  </si>
  <si>
    <t>Permet après avoir porté une atk d'arts martiaux (aucun dégât) de faire un test (Ki + niv. de maitrise) opposé à la vigueur. Chaque succès diminue d'un type de dé un Trait de la victime (min d4) pendant niv. de maitrise rounds.</t>
  </si>
  <si>
    <t>Tt ennemi à moins de 30m doit réussir un jet d'Âme pour pouvoir attaquer. Niv.1: SD3, Niv.2: SD5, Niv.3: SD7, Niv.4:SD9, Niv.5 SD12. En cas de réussite de l'adversaire, il subit un malus égal au niveau de maitrise aux jets d'atk.</t>
  </si>
  <si>
    <t>Permet si test de tir: arc réussi contre le SD les plus élevé de décocher plusieurs flèches contre plusieurs ennemis: Niv.1: 2flèches/1cible, Niv.2: 3flèches/1cible, Niv.3: 3flèches/3cibles, Niv.4:5flèches/3cibles, Niv.5 5flèches/5cibles</t>
  </si>
  <si>
    <t>Crée un nuage de souffre de 3m: malus de -2 à toutes les aptitudes. Fait perdre du souffle par round. As: 1d4 Paire: 1d6 Valets: 1d8; 2 Paires 2d6: Brelan: 2d8 Quinte: 2d10 Flush: 3d6 Full: 3d8 Carré: 3d10 QF: 4d6 RF:4d8</t>
  </si>
  <si>
    <t>Gris-gris: Whisky excellent+ Poussière de cimetière= Quand tirage de cartes pour déterminer si elle retourne des morts en tant que Détérré, tire une carte supplémentaire pour chaque niveau de pacte avec le Baron Samedi.</t>
  </si>
  <si>
    <t>Permet en réussissant une atk d'entortiller un ennemi avec 6m de corde min. Tant que le pouvoir est actif, il doit alors réussir un test d'Âme contre ton Ki+ Niv. de maitrise pour se libérer. Sinon, ou pouvoir non maintenu il se libère.</t>
  </si>
  <si>
    <t>Déforme et rend fantaisiste et risibles les paroles de la personne sur laquelle le sort est lancé à moins de réussir un jet de Perception contre le SD: Paire: 3 2 Paires: 5 Brelan: 7 Quinte: 9 Flush ou mieux: 11</t>
  </si>
  <si>
    <t>Permet d'augmenter le niveau de terreur dans une zone As: +1 Paire: +2 Valets: +3 2 Paires: +4 Brelan ou mieux: +5</t>
  </si>
  <si>
    <t>Permet de copier à la perfetion un sort lancé lors du même round dans un rayon de 5mX Niv. de maitrise. Ne permet pas de coipier les miracles ni les faveurs.</t>
  </si>
  <si>
    <t>Permet de créer de petits objets qui durent autant de rounds que le niv.  As: Allumette, 5c Paire: Echarpe, carte aléatoire, 10c Valets: Derringer, couteau, 25c  2 Paires: Pistolet chargé, 5$, carte à jouer spécifique</t>
  </si>
  <si>
    <t>Donne un bonus de +5 en Persuasion, Bluff ou Intimider. Toute main supérieure à 2 Valets donne un bonus supplémentaire de +2.</t>
  </si>
  <si>
    <t>Innonde une cible unique d'un flot de paroles incessant qui maintient son attention sur le huckster à moins de réussir un jet de Perception de 3 (+ 2 par dégré de combinaison supplémentaire à As)</t>
  </si>
  <si>
    <t>Crée un nappe de brouillard de 40m²X Niv. de maitrise. Tous les jets de Perception on un malus de -2. Visibilité réduite à: As: 20m Paire: 10m 2 Paires: 5m Brelan: 1,5m Quinte ou mieux: 50cm</t>
  </si>
  <si>
    <t>Crée une bulle d'air autoure de la tête du huckster qui résiste à l'environnement selon la main tirée: As: Fumée Paire: Gaz empoisonné, sort de vapeurs putrides Valets ou mieux: Eau</t>
  </si>
  <si>
    <t>Augmente de +2 le SD de la prochaine action de la cible (qui nécéssite un jet de Trait ou d'aptitude même pour de la magie). Toute main supérieure à un As donne un malus supplémentaire de +2.</t>
  </si>
  <si>
    <t>Permet de renvoyer un certain nombre de pts de dégâts de reçu vers la même zone de la cible de ce sort. Max: As: 6 Paire:12 Deux Paires: 18 Brelan: 30 Quinte: 42 Flush: 48 Full ou mieux: 60.</t>
  </si>
  <si>
    <t>Permet de traquer une proie et donne des infos dessus: As: Direction approx. Paire: Distance Approx. 2 Paires: Direction où se dirige la cible Brelan: Endroit exact où elle est Quinte ou mieux: Activité actuelle.</t>
  </si>
  <si>
    <t>Permet d'invoquer un esprit cheval et de la chavaucher sans avoir à faire de jet d'équitation. Les caractéristiques du cheval varient avec la main tirée (Voir Livre des Huckster 43)</t>
  </si>
  <si>
    <t>Permet de tracer un glyphe de 3 m de diamètre. Si quelque chose le pènètre sans donner le mot de passe, le huckster est immédiatement averti s'il réussit jet de Perception de 5 -2 par main supérieure</t>
  </si>
  <si>
    <t>Permet d'avoir une carte mentale de la région dont la superficie varie avec la main tirée. As: 100m Paire:500m Valets: 1 mile 2Paires: 2 miles Brelan: 5miles Quinte: 10miles Flush:20 miles Full ou +: 50 miles</t>
  </si>
  <si>
    <t>Permet d'infliger des dégâts aux objets et véhicules uniquement Paire: 1d6 Valets: 3d6 2 Paires: 4d8 Brelan: 5d8 Quinte: 6d8 Flush: 7d10 Full: 8d10 Carré: 9d10 Quinte Flush: 10d12 Royal Flush: 10d20</t>
  </si>
  <si>
    <t>Augmente d'un cran le type de dés d'un Trait physique de la cible Paire: +1 type 2 Paires: +2 types Brelan: +3 types Quinte: +4 types Flush ou mieux: +5 types</t>
  </si>
  <si>
    <t>Augmente d'un cran le type de dés d'un Trait mental de la cible Paire: +1 type 2 Paires: +2 types Brelan: +3 types Quinte: +4 types Flush ou mieux: +5 types</t>
  </si>
  <si>
    <t>Coup de tonnerre de 5 m de rayon. Quiconque est dans la zone est sourd pendant 2d10 rounds (1d6 si le jet de vigeur est réussi) et doit réussir un test de Vigreur de 3 +2 par main supérieur ou être Etourdi.</t>
  </si>
  <si>
    <t>Diminue d'un cran le type de dés d'un Trait physique de la cible jusqu'à 1d4 min puis la coodination Paire: +1 type 2 Paires: +2 types Brelan: +3 types Quinte: +4 types Flush ou mieux: +5 types</t>
  </si>
  <si>
    <t>Diminue d'un cran le type de dés d'un Trait mental de la cible jusqu'à 1d4 min puis la coodination Paire: +1 type 2 Paires: +2 types Brelan: +3 types Quinte: +4 types Flush ou mieux: +5 types</t>
  </si>
  <si>
    <t>Test opposé d'âme entre la cible et le hucktser (bonus de +2 par degré de combinaison au-delà de la main min.). S'il l'emporte la victime perd un nmbre de pts de Souffle égal à la différence entre les deux jets.</t>
  </si>
  <si>
    <t>Donne l'illusion qu'une zone bléssée est touchée. Diminue de un rang de blessure pour la main minimale + 1 par main supérieure obtenue. Les blessures ne sont pas soignées, seulement ignorées.</t>
  </si>
  <si>
    <t>Produit une sphère de rayon égal au niv. de maitrise qui fait perdre du souffle à ttes les cibles dans la zone: Paire: 1d4 Valets: 2d4 2P: 3d6 Brelan: 4d8 Quinte: 5d8 Flush: 5d10 Full: 6d10 Carré:6d12 QF:7d12 RF 8d12</t>
  </si>
  <si>
    <t>Repousse toutes les créatures dans un rayon de 5mXle niv. de maitrise si le poids est &lt; à: As: 25kg SD3 Paire: 50kg SD5 Valets: 70kg 2 SD7 Paires: 100kg SD9 Brelan ou mieux 125kg SD11 (SD pour jet de Force si bloqué)</t>
  </si>
  <si>
    <t>Augmente la CDT et diminue d'autant la fiabilité d'une arme personnelle: As:1 Paire: 2 Deux Paires: 3 Brelan: 4 Quinte ou mieux: 5. Les jets de Tir sont effectués à -2.</t>
  </si>
  <si>
    <t xml:space="preserve">Fait perdres des pts de Souffle et tue la végétation As: 1 (Herbe) Paire: 1d4 (Blé) 2 Paires: 1d6 (Maïs) Brelan: 2d6 (Buisson) Quinte: 4d6 (Arbustre) Flush: 5d6 (Petit Arbre) Full: 6d6 (Arbre) Carré: 7d6 (Cactus) </t>
  </si>
  <si>
    <t>Permet de détecter les mensonges, fariboles et exagérations mais ne permet pas de détecter les mensonges par omission.</t>
  </si>
  <si>
    <t>Permet de créer un double illusoire décelable par un jet de Perception à 7 (3 à moins d'un mètre). Avec une main égale à brelan ou mieux, le huckster peut faire parlet son double par ventriloquie.</t>
  </si>
  <si>
    <t>Ajoute +5 au SD pour toucher la personne porteuse ce sort. Ne permet pas de dévier les explosions ni les effets de zone mais bien les sorts qui visent (comme foudre de l'âme).</t>
  </si>
  <si>
    <t>Permet de donner l'illusion qu'un objet en est un autre. Affecte les 5 sens. As: Clef, carte Paire: Derringer Valets: Dynamite 2 Paires: Pistolet Brelan ou mieux: Serpent, tomahawk Carré ou mieux: petit chien</t>
  </si>
  <si>
    <t>Permet d'annuler un sort, un maléfice ou un pouvoir de Détérré si la combinaison bat le niv. de maitrise du sort ennemi. Sans effets sur les miracles, faveurs et gris-gris. As: 1 Paire: 2 Valets: 3, 2P: 4 Quinte: 5 etc.</t>
  </si>
  <si>
    <t xml:space="preserve">Permet de se défaire des nœuds et d'ouvrir des serrures. As: Nœuds Paire: Serrures simples (ex: menottes) Valets: Serrures complexes Brelan: Serrures à combinaison Quinte ou mieux: sorts de blocage </t>
  </si>
  <si>
    <t>Permet d'annuler ou de réduire de 2 points à la compétence Tirer de la cible par combinaison obtenue les malus au tir mais ne donne aucun bonus. La personne ciblée relance les 1 des dés de dégâts.</t>
  </si>
  <si>
    <t>Permet de déplacer des objets par télékinésie et de les projeter pour faire des dégâts. As: Verre (1d6) Paire: Deux pierres (2d4) Valets: Gros livre (3d6) 2P: Bois (5d6) Brelan: Meubles (5d8) Quinte: Bureau (6d8) etc.</t>
  </si>
  <si>
    <t>Permet en défaussaant de sa carte plus haute d'action d'augmenter les points d'appaisement qu'un chaman doit dépenser pour obtenir une faveur: Paire: +1 Valets: +2 Deux Paires: +3 Brelan: +4 Quinte ou +: +5</t>
  </si>
  <si>
    <t>Diminue de -2 le SD de la prochaine action de la cible (qui nécéssite un jet de Trait ou d'aptitude même pour de la magie). Toute main supérieure à un As donne un bonus supplémentaire de -2. (minimun du jet 3)</t>
  </si>
  <si>
    <t>Ce sort efface les traces du huckster (et d'une personne supplémentaire par niv. de maitrise) As: Visuel Paire: Olfactif 2 Paires ou mieux: génère une fausse piste. Peut-être contré par un sort Cherche!</t>
  </si>
  <si>
    <t>Permet de modifier le climat d'une zone d'un milesX niv. du sort par combinaison obtenue (Soleil de plomb&gt;Ciel bleu&gt; qques nuages&gt;Nuageux&gt;Pluie fine&gt;Pluie&gt;Averse&gt;Trombes d'eau&gt;Orage&gt;Ouragan)</t>
  </si>
  <si>
    <t>Allume un foyer dans une zone de 5m de diamètre. Le feu n'est pas magique et cause des dégâts normaux. Paire: Papier 2 P: Brindille Brelan: Branchage Quinte: Branches Flush: Meuble Flush: Bûches Carré: Arbre etc.</t>
  </si>
  <si>
    <t>Produit un globe lumineux verdâtre qui annule tout malus de visibilité dans un rayon de 3m. La sphère est stationnaire à 1m20 du sol mais peut être déplacée (ne génère ni énergie ni chaleur). Visible à 15m</t>
  </si>
  <si>
    <t>Crée une hémisphère magique de 50m de diamètre par niv. de maîtrise qu'aucun animal normal ne peut franchir. S'ils sont contrôlés: jet de Tripes de 7 pour passer mais test à-2 et fuieront dès la fin du contrôle.</t>
  </si>
  <si>
    <t>Si le sort est correctement lancé, le huckster ne vieillit pas pendant un an. En cas de contrecoup, le personnage vieillit instantanément d'un an an plus de l'effet normal.</t>
  </si>
  <si>
    <t>Peut jeter des traits électriques en réussissant un jet de lancer: foudre noire (5) Paire: d4 (max charge d4/niv. jusque quinte ) 2 Paires: d6 Brelan: d8 Quinte: d10  (max charge d6/niv.) Flush: d12 Full ou mieux: d12</t>
  </si>
  <si>
    <t>Fait perdre du souffle en touchant un cible avec un jet de Tir à 5: As: 1d4 Paire: 1d6 Valets: 3d6 2P: 4d8 Brelan: 5d8 Quinte: 6d8 Flush: 7d10 Full: 8d10 Carré: 9d10 QF: 10d12 RF: 10d20 Main du mort: mort</t>
  </si>
  <si>
    <t>Augmenter la viscosité d'un liquide jusqu'à le rendre solide As: Bonus de +3 pour nager Paire: Eau visqueuse 2 Paires: Gélatine Quinte ou mieux: Presque solide (voir description complète Livre des Huckster p.59)</t>
  </si>
  <si>
    <t>Permet de contrôler mentalement un certain nombre d'animaux dans la zone d'effet. Paire: 1 Valets: 1d4 2 Paires: 1d6 Brelan: 2d6 Quinte:3d8  Flush: 4d10 Full: 5d12 Carré ou mieux: 6d20</t>
  </si>
  <si>
    <t>Fait jaillir un geyser qui occupe 1m². Ne fait que 1/2 dégâts à ttes personne à moins de 3m. Paire: 4d4  2P: 5d6 Brelan: 6d6 Quinte: 6d8 Flush: 7d10 Full: 8d10 Carré: 9d10 QF: 10d12 RF: 11d12</t>
  </si>
  <si>
    <t>Permet de disparaitre totalement du temps et de réapparaitre au même endroit après: Valets: 1 round 2P:2 rounds  Brelan: 3 rounds Quinte: 1 min Flush: 10 min Full: 1h Carré: 1j QF: 1 semaine RF: 1an.</t>
  </si>
  <si>
    <t>Permet d'augmenter l'allure d'un personnage ou d'une monture en plus de ceux gagnés en courant ou en sprintant: As: 4m Paire: 8m Valets: 12m 2 Paires: 16m Brelan ou mieux: 20m</t>
  </si>
  <si>
    <t>Toutes les créatures dans un rayon de 3m: jet de tripes (7) ou perte de Souffle: As: 1d4 Paire: 1d6 2 Paires: 2d6 Brelan: 3d8 Quinte ou mieux: 4d8. Sans effet contre les abominations. Porte jusqu'à un mile.</t>
  </si>
  <si>
    <t>Permet de prendre les traits d'une personne déjà croisée et donne un bonus de +5 en déguisement (+2 par degré de combinaison supérieure à paire)</t>
  </si>
  <si>
    <t>Permet de temporairement se cacher derrière une illusion qui ne sera mise à jour que par un jet d'Âme à (As: 3 Paire: 5 Valets: 7 2 Paires: 9 Brelan ou mieux: 11). Si agit de manière peu discrète +5 au jet d'Âme</t>
  </si>
  <si>
    <t xml:space="preserve">Permet de comprendre une langue parlée ou écrite. As: Sens global Paire: équivalent à Langue 1 2 Paires: équivalent à Langue 2 Brelan ou mieux: équivalent à Langue 3 </t>
  </si>
  <si>
    <t>Permet de percevoir le passé d'un objet ou d'un individu au contact. Plus la combinaison de cartes obtnue est puissante et plus la vision sera précise.</t>
  </si>
  <si>
    <t>Permet de se déplacer d'ombre en ombre. La distance maximale parcourue est fonction de la main: As: 2m Paire: 5m 2P: 10m Brelan: 20m Quinte: 50m Flush: 100m Full: 200m Carré: 500m QF: 1 mile RF: Vision.</t>
  </si>
  <si>
    <t>Permet d'appeler et de contrôler des animaux Paire: 2d4 souris, écureuil ou petit oiseau Valets: 1d4 chats, putois ou raton-laveur 2P: 3d6 rats, serpent Quinte: 2d6 loups ou cougars Flush: 1d4 ours</t>
  </si>
  <si>
    <t>Toutes les personnes dans un rayon de 10m doivent réussir un jet de Vigueur à 9 à la fin de chaque round pour entreprendre autre chose que des actions simples. Seulement malus de -2 en intérieur.</t>
  </si>
  <si>
    <t>Perturbe l'activité cardiaque de la cible au toucher. La victime perd 3d6 souffle fait un test de Vigueur de 7 (+2 par Main supérieure à 2P). Echéc= Sa Vigueur diimue d'un degré. Si déjà d4 perd 1 Coordination.</t>
  </si>
  <si>
    <t xml:space="preserve">Attire vers le huckster tous ceux qui sont dans la zone d'effet au moment du lancer et qui manquent un jet d'Âme (3+ 2/combinaison supérieure à 2P -3 si les Huckster la mets en danger). </t>
  </si>
  <si>
    <t>Permet de diminuer d'un cran le rang de toutes les blessures ne dépassant pas la gravité de la combinaison obtenue: As: Souffle Valets: Légère 2 Paires: Sérieuse Brelan: Grave Quinte ou mieux: Critique.</t>
  </si>
  <si>
    <t>Toutes les personnes dans un rayon de 5m doivent réussir un jet d'Âme de (3+2/combinaison supérieure) sous peine de rester à rien faire. Ne fonctionne pas au milieu d'un combat ou dans une situation fatale.</t>
  </si>
  <si>
    <t>Fait apparaitre une poche d'ombre autour du huckster qui augmente de +5 la Furtivité du personnage +2 par degré de réussite supérieur à Paire. Doit rester discret: ne fonctionne pas si exposé en plein jour.</t>
  </si>
  <si>
    <t>Ensèrre la victime d'anneaux d'énergie. Elle peut se libérer en réussissant un jet de Force de (3+2/ combinaison supérieure) au début de chaque round. En cas de plantage à ce jet, il faut attendre la fin du sort.</t>
  </si>
  <si>
    <t>Donne un champ de vision à 360°; +5 aux jets de Perception liés à la surprise. Prolonger le sort au-delà de quelques instants exige un jet de Vigueur à 5 toutes les 5 minutes pour ne pas souffir de nausée.</t>
  </si>
  <si>
    <t>Ajoute +5 au SD de quiconque prend le personnage qui porte de ce sort pour cible à distance. Les explosions et effets de zone ne peuvent pas être évités de cette manière mais les sorts qui ciblent oui.</t>
  </si>
  <si>
    <t>Provoque un jet d'Âme entre un Détérré et le manitou qui l'habite. Toute main &gt; à As peut ajouter +1 à l'un ou l'autre au choix. Celui qui remporte ce jet avec au moins un succès gagne 1pt de Dominion.</t>
  </si>
  <si>
    <t>Permet de connaitre l'avenir d'un être humain. Plus la main retournée est forte et plus la vision sera précise. La cible peut résister par un jet d'Âme opposé.</t>
  </si>
  <si>
    <t>Fait apparaitre un tourbillon dans une pièce d'eau. Le diamètre de départ est de 12m +6m par degré obtenu. Jet de conduite à 7 pour piloter un bateau, jet de nager à 11 à la fin de chaque round. Effets Hukster 69</t>
  </si>
  <si>
    <t>Permet de manipuler des objets à distance: As: balle de baseball  Paire: Pistolet Valets: Fusil 2 Paires: Gatling Brelan: Humain Quinte: Coffre Flush: Chariot Full: Chêne Carré: Fourgon QF: Manoir RF: Train complet</t>
  </si>
  <si>
    <t>Toutes les personnes dans un rayon de 5m doivent réussir un jet de Vigueur de (3+2/combinaison supérieure) sous peine de dormir. Ne fonctionne pas sur les Détérrés ni les abominations.</t>
  </si>
  <si>
    <t>Crée une zone illusoire de 18m² par niv. de maitrise. Il faut un jet de Perception à 9 pour réaliser que c'est un leurre. La qualité de l'objet et sa taille dépende de la main retournée. (Voir tableau Huckster p.70)</t>
  </si>
  <si>
    <t>Permet de créer un conduit entre deux surfaces réfléchissantes 2 Paires: Observation visuelle Brelan: Obstervation visuelle et auditive  Full ou mieux: le huckster peut se déplacer d'un miroir à l'autre.</t>
  </si>
  <si>
    <t>Tte flore dans un rayon de 3m par niv. de maitrise est agressive contre tt le monde. As: Herbe (0) Paire: Buissons (1d4S) Valets: Fourets (1d10) 2P: Arbustres (1d6) Brelan: Arbriseaux (2d6) Quinte:Arbres (3d6) etc.</t>
  </si>
  <si>
    <t>Ramène l'âme d'une personne qui vient juste de mourir dans son corps jusqu'à la fin du sort. Quand cela arrive on tire deux cartes de plus pour déterminer si le personnage devient un Détérré.</t>
  </si>
  <si>
    <t>Lancé juste après un jet d'aptitude ou de trait réussi, augmente le nbre de succès: Paire: 1 Valets: 2 2P: 3 Brelan: 4 Quinte: 5 Flush ou mieux: 6. Si un joker noir est retourné le sort et le jet échouent + contrecoup.</t>
  </si>
  <si>
    <t>Permet de voir à travers les yeux d'une personne ou d'un animal à proximité (sans effet sur une abomination) avec les mêmes malus à la vue que la cible du sort.</t>
  </si>
  <si>
    <t>Permet d'entendre à travers les oreilles d'une personne ou d'un animal à proximité (sans effet sur une abomination) avec les mêmes malus à l'ouïe que la cible du sort.</t>
  </si>
  <si>
    <t>Rends les mains et ls peids de la cible très adhésives (même à travers des gants ou des bottes). Doit faire un jet de grimper à 3 pour une surface ardue. Bonus égal à 2X niv. de maitrise pour lui faire lâcher prise.</t>
  </si>
  <si>
    <t>Permet de revétir la forme d'un animal naturel: Loup, Chat noir, Serpent ou Corbeau tant que le rituel est actif. Les vêtements et l'équipement tombe au sol. Peut revenir à sa forme initiale à volonté.</t>
  </si>
  <si>
    <t>Fait luire les cartes que le huckster tient en main. Quiconque les voit doit faire un test de Perception de (2+2/combinaison supérieure) sous peine d'être aveuglé et de subir un malus de -4 aux tests liés à la vue.</t>
  </si>
  <si>
    <t>Doit préparer un chambranle de porte construit par un humain. Une fois la préparation faite et le sort lancé, le hukster et lui seul peut passer à travers une ouverture et être ramèné au chambranle préparé.</t>
  </si>
  <si>
    <t>Permet d'envoyer un message à distance As: Emotion simplé Paire: Une seule phrase 2 Paires: Message détaillé Brelan: Conversation normale. Si cible est hors de portée, le message est lancé mais jamais reçu.</t>
  </si>
  <si>
    <t>Permet de soigner une et une seule partie de blessure d'un rang sur un Détérré ou un autre M-V uniquement. Ne peut pas cibler le huckster lui-même. As: Souffle, Paire: Légère, Valets: Sérieuse, etc.</t>
  </si>
  <si>
    <t>Permet de créer l'illusion de sa mort et d'une blessure fatale à moins d'un jet d'opposition de médecine contre l'astuce du Huckster (avec bonus de +2/combinaison supérieure obtenue)</t>
  </si>
  <si>
    <t>Permet de voir à travers les objets et les conditions: As: Obscurité Paire: Brouillard Valets: Fumée, eau trouble 2P: Tissu épais, illusion magique Brelan: Bois (5cm d'épaisseur) Quinte: Métal (2,5cm d'épaisseur)</t>
  </si>
  <si>
    <t>Fait rouiller tout objet métallique. Diminue le modificateur de Force pour briser un objet mécanique: As: 1 Paire: 2 Valets: 3 2 Paires: 4 Brelan: 5 Quinte: 8 Flush: 10 Full: 12 Carré: 14 QF:16 RF: Destruction.</t>
  </si>
  <si>
    <t>Transforme un sol naturel (sauf de la roche) d'un rayon de 5m par niv. de maitrise en sable mouvant. La main retournée augmente la profondeur depuis 1m pour une Paire jusqu'à 6m pour un Flush.</t>
  </si>
  <si>
    <t>Fait vibrer le sol grâce à de l'énergie venue des terres de Chasse. (Voir le tableau des effets exacts dans le livre des Hucksters p. 80)</t>
  </si>
  <si>
    <t>Permet de détecter la magie As: Repère les effets magiques Paire: Indique le type de magie 2P: Donne l'effet général Quinte: Nomme le sort Flush: Indique la durée restante du sort</t>
  </si>
  <si>
    <t>Permet d'éviter à deux personnes (+2 / combinaison supérieure à As) d'être averties et de ne pas être surprises. Doit alors réussir un jet de rapidité de 5 pour tirer ses cartes comme au début d'un round.</t>
  </si>
  <si>
    <t>Invoque le siroco qui souffle depuis le huckster sur une zone de 6X12m (Vitesse du vent en km/h; malus pour bouger): Paire: 15 Valets: 30 2P: 45 Brelan: 60 (-1) Quinte: 75 (-2) Flush: 100 (-4) Full: ou mieux 150 (-6)</t>
  </si>
  <si>
    <t>Permet de rendre un objet réèlement particulier magique au bout de trois jours de travail interrompu. (Voir les modalités avec le Marshal, la page 112 du livre de base et la page 82 du livre des Hucksters)</t>
  </si>
  <si>
    <t>Permet de découvrir la faiblesse d'une créature surnaturelle uniquement avec plus ou moins de fiabilité selon la main retournée. Contre un humain révèle les handicaps à 4 ou plus.</t>
  </si>
  <si>
    <t>Fait apparaitre un méchant vent de sable d'une zone de 6m par niv. de maitrise. Tte créature qui s'y trouve: jet Vigeur à 5 ou perdre 1pt de Souffle par échec et malus de (2+2/combinaison supérieure) à tte action.</t>
  </si>
  <si>
    <t>La cible doit effectuer un jet de Foi de SD variable: Paire: 5, 2P: 7, Brelan:9, Quinte:11. En cas d'échec elle perds 1pt de Foi de mnaière permanente. En cas dé réussite elle gagne un bonus de +2 pour y résister.</t>
  </si>
  <si>
    <t>Tend une barrière gluante de 3m de côté par niv. de maitrise entre 2 objets parallèles. Le SD de Force pour la franchir est de (5+2/combinaison supérieure). La toile est inflammable et n'arrête pas les projectiles.</t>
  </si>
  <si>
    <t>La cible doit réussir un jet de Tripes contre le SD de Terreur imposé par la main du huckster: As: 3 Paire: 5 2 Paires: 7 Brelan: 9 Quinte: 11 Flush: 13. Les Détérrés ont un malus de -2 sur ce jet.</t>
  </si>
  <si>
    <t>Augmente temporairement le total de points de Souffle de la cible d'un nombre déterminé par la main: As: 5; Paire: 10; 2 Paires: 15; Brelan: 25; Quinte: 40. Les pertes de Souffle entamment d'abord ce surplus.</t>
  </si>
  <si>
    <t>Tant que ce sort fait effet la pierre devient argile au contact des mains du hukster puis reprends sa solidité initiale. Ne peut affecter que 30dm³ par round et il est difficile de le maintenir plus d'une minute.</t>
  </si>
  <si>
    <t>Permet de s'y mettre à plusieurs pour lancer un sort. Seul le "croupier" lance le sort, chaque degré de réussite apporté par les autres augmente d'un cran l'efficacité. Si contrecoup, tous les subissent.</t>
  </si>
  <si>
    <t>Permet de faire oublier le passé ou de modifier les souvenirs  As: 1 round Paire:1 minute Valets: 5 minutes  2 Paires: 10 min Brelan: 1h Quinte: 6h Flush: 1j Full: 1 sem Carré: 1 mois QF: 6 mois RF: 1an</t>
  </si>
  <si>
    <t>Permet de charger un objet avec un sort (ne perdure 1j/niv. de maitrise d'un as dans la manche) qui peut-être utilisé par n'importe qui. Le huckster ne peut plus lancer ce sort tant que l'objet n'a pas été utilisé.</t>
  </si>
  <si>
    <t>Génère une sphère de méthane de 5m de rayon par niv. de maitrise du sort. -6 à tous les tests de Perception basés sur l'odorat. Peut infliger des dégâts par explosion et inflige des malus aux Traits et Aptitudes.</t>
  </si>
  <si>
    <t>Permet de créer un repas sans gôut (boisson comprise) +1 par main supérieure. Permet de subsister autant de jours que le huckster a de niv. de maitrise de ce sort avant de subir la famine.</t>
  </si>
  <si>
    <t>Donne à son porteur un bonus égal au niveau du sort du lanceur en Persuasion contre celui ou celle qui porte le gris-gris associé. Les gris-gris doivent contenir des objets en rapport avec les porteurs et leur relation sociale.</t>
  </si>
  <si>
    <t>L’invocation initiale prend 30 min, ensuite 1 min suffit pour faire disparaître toutes les blessures subies par un seul et même individu (quelle que soit leur gravité). Soigne également les maladies et le poison.</t>
  </si>
  <si>
    <t>Permet en touchant la tête d'un zombie ou d'un squelette (jet de Baggare à -6 pour viser) de faire un jet opposé de Foi contre l'Âme du monstre. Si réussi celui-ci redevient poussière. Sans effet sur les Détérrés.</t>
  </si>
  <si>
    <t>Quand ce miracle est lancé, choississez un Trait ou une aptitude et une action. A chaque fois que le jet est manqué, donne un bonus cumulatif de +1 au prochain essai jusqu'à la réussite de l'action ou la fin du sort.</t>
  </si>
  <si>
    <t>Test de Foi (en conservant tous les modificateurs normaux de ses jets d’Intimider) opposé au score de Tripes de son adversaire. S’il l’emporte, sa victime est affectée.</t>
  </si>
  <si>
    <t>Bonus de +5 à tous les jets de Perception permettant de repérer un type dissimulé ou de comprendre qu’un individu déguisé n’est pas ce qu’il semble être. Chaque Degré obtenu augmente le bonus de +2.</t>
  </si>
  <si>
    <t>Test d'Art Martiaux+ Niv. de maitrise. Chaque succès annule une action à venir de l'adversaire. Perds dans l'ordre jusqu'à sa manche. S'il perd toutes ses actions: Jet d'Intimider. Succès: l'adversaire rompt le combat.</t>
  </si>
  <si>
    <t>Transforme une des cartes piochées (mais pas dans la manche) en Joker Rouge (permet d'agir n'importe quand et même d'interrompre une autre action avec test de Rapidité). Ne donne pas de pioche sur la table du destin.</t>
  </si>
  <si>
    <t>Protège de manière totale, excepté les effets secondaires, la cible des extrêmes climatiques et procure également un niv. de Protection contre  le feu ou le froid magique.Peut affecter un individu par Succès à l’invocation</t>
  </si>
  <si>
    <t>Tant que dure le sort, permet de subsister sans avoir besoin de nourriture et la moitié d'eau. A la fin du sort, doit manger de la nourriture réèle avant de pouvoir être réutilisé. Non cumulable avec l'aptitude jeûne.</t>
  </si>
  <si>
    <t>Permet avec un jet d'Agilité contre un SD de 1+ 2 par tranche de 5m de parcourir cette distance d'un bon. Si le jet est raté, perd 1d4 pts de Souffle par point manquant pour arriver au SD. Si réussi peut placer une atk immédiate.</t>
  </si>
  <si>
    <t>Permet d'envoyer un message (max 10 mots) par niv. de maitrise du sort. L'image du voodouiste apparait en rêves. Pas possible d'intéragir de cette manière. -2 au SD pour le lancer si un objet du destinataire est tenu en main.</t>
  </si>
  <si>
    <t>Ce gris-gris protège des sorts uniquement. Quiconque cible le porteur avec un sort a un malus égal au niv. de maitrise à l'invocation. Les pertes de dégâts ou de souffles dues à un sort sont réduites de ce même montant.</t>
  </si>
  <si>
    <t>Si la cible est en vue et que le sort fonctionne, la cible est étourdie et peut tenter un test de vigeur de (5+2 par de degré de succès) pour récupérer. Le vaudouiste perd 1d6 Souffle à chaque tentative de lancer de ce sort.</t>
  </si>
  <si>
    <t>Poudre qui doit être disposée en zone de 1m²X niv. du sort. Tte personne qui pénètre la zone: malus de -2X niv. du sort à tous ses jets basés sur la Perception. La poudre ne reste efficace qu'un nbre de jours = niv. du sort</t>
  </si>
  <si>
    <t>Le gris-gris mène à un trésor à 1j de marche de valeur égale à 1d10$ , +1 pour chaque niveau de sort. Pour chaque succès au-delà du SD, +1d10 supplémentaires plus 1$ supplémentaire pour chaque niveau de sort.</t>
  </si>
  <si>
    <t>Ce gris-gris protège son porteur des dégâts physiques. Tout dégât reçu est diminué de 1pts pour chaque niv. de maitrise du sort. Est sans effet contre les effets et les objets magiques.</t>
  </si>
  <si>
    <t>Chaque succès crée un sachet de poudre (Max niv.) qui peut affecter 1 perso. Poison magique par inhalation uniquement:  1d6 dégâts par niv. de maitrise du sort. Agilté 5 pour le projeter. Si plantage: autoempoisonnement.</t>
  </si>
  <si>
    <t>Doit être lancé sur le lieu d'un vol (-1/j écoulé depuis lors). Si le sort réussit et que l'objet est à portée, le vaudouiste est guidé vers celui-ci. Avec un succès et en touchant l'objet avant la fin du sort il a aussi le nom du voleur.</t>
  </si>
  <si>
    <t>La main dans le sac</t>
  </si>
  <si>
    <t>Poussière de révélation</t>
  </si>
  <si>
    <t>Crée 1 dose de poussière qui doit être dispercée sur la cible. Tant que le poudre fait effet la cible doit réussir un test d'Âme opposé au test d'invocation du vuadouiste. S'il rate il ne peut mentir. Fonctionne vs. Déguisement.</t>
  </si>
  <si>
    <r>
      <t xml:space="preserve">Pour préparer le gris-gris le vaudouiste doit avoir un objet personnel de la cible. Tant que le sort fait effet et à moins que la victime ne récupère l'objet, elle gagne le Handicap </t>
    </r>
    <r>
      <rPr>
        <i/>
        <sz val="8"/>
        <color theme="1"/>
        <rFont val="Calibri"/>
        <family val="2"/>
        <scheme val="minor"/>
      </rPr>
      <t>Pas de bol</t>
    </r>
    <r>
      <rPr>
        <sz val="8"/>
        <color theme="1"/>
        <rFont val="Calibri"/>
        <family val="2"/>
        <scheme val="minor"/>
      </rPr>
      <t>.</t>
    </r>
  </si>
  <si>
    <t>Jet d'opposition d'incantation contre un sort, hex, magie noire ou vaudou. Réussi: sort visé annulé, 1 Succès: sort renvoyé sur le lanceur, 2 Succès: il subit 3d6 dégâts en plus. Les échec ont les mêmes effets sur le vaudouiste.</t>
  </si>
  <si>
    <t>Doit créer un gris-gris (max niv. de maitrise) de 50$ en rapport avec une abomination et ne fonctionne qu'un jour. Permet de voler un peu de l'essence de cette créature uniquement et de s'approprier un de ses pouvoirs.</t>
  </si>
  <si>
    <t>1 mile</t>
  </si>
  <si>
    <t>Doit créer un gris-gris (max un et un seul) de 50$ avec un peu du perso visé (ongle, sang,…). Test opposé d'incantation vs.Vigueur de la cible. En cas de succès inflige un niv. de blessure (max sérieuse) sur une zone au choix .</t>
  </si>
  <si>
    <t>Avec 20$ de sacrifice transforme une arme capable de faire des dégâts en gris-gris et lui donne un bonus aux dégâts égal au niv. de maitrise du sort pour le lanceur. L'arme ne fait que des dégâts de souffle aux M-V et Détérrés.</t>
  </si>
  <si>
    <t>Gagne des pépites en en sacrifiant une blanche: Valets: 2 W Brelan: 2 W+ 1R Quinte: 2W +1R + 1B. Ne peuvent pas servir de primes. En cas de plantage perds toutes ses pépites et s'il n'en a plus le Marshal en tire 3</t>
  </si>
  <si>
    <t>Huckster 52/ Hex 22</t>
  </si>
  <si>
    <t>Huckster 40/ Hex 22</t>
  </si>
  <si>
    <t>Sombre fenêtre</t>
  </si>
  <si>
    <t>Hexarcana 26</t>
  </si>
  <si>
    <t>Permet de fouiller jusqu'à un certain point le passé par des visions troubles obtenues à partir d'une fenêtre. Montre tjrs une scène marquante Paire:1j 2P: 1sem Brelan: 1mois Quinte: 1an Flush 5ans, Full ou mieux: 10ans</t>
  </si>
  <si>
    <t>Chat noir</t>
  </si>
  <si>
    <t>Si le sort est lancé avec succès force un adversaire à refaire un jet qu'il vient juste de réussir (bonus de +2 à cette tentative). Le second jet annule le 1er qu'il soit meilleur ou pire. Ne peut servir à relancer un test raté.</t>
  </si>
  <si>
    <t>Permet de lancer des cartes jusqu'à 5mXniv. de maitrise qui infligent Force plus un certain nombre de dégâts (+2 par main supérieure) selon la carte: 2: 1d4; 3 à 8 : 1d6; 9 à Valets: Rois et Reines: As: 1d12 Joker: Copie 1 carte</t>
  </si>
  <si>
    <t>Vague de froid</t>
  </si>
  <si>
    <t>Hexarcana 27</t>
  </si>
  <si>
    <t>Génère une vague de frois qui diminue d'un cran par main main obtenue la Dextérité, l'Agilité et la Rapidité de tous ceux qui sont dans la zone (y compris le huckster) jusqu'à min d4. Affecte ensuite les coordinations.</t>
  </si>
  <si>
    <t>Projeter les cinquante-deux</t>
  </si>
  <si>
    <t>Hexarcana 28</t>
  </si>
  <si>
    <t>Nécéssite un deck de 52 cartes complet. Remplit une zone de 5m de diamètre par niv. de maitrise d'un flot de cartes volantes qui gènent tout jet lié à la vue (malus de -2/combinaison supérieure obtenue)</t>
  </si>
  <si>
    <t>Permet de tirer des cartes d'action supplémentaires As: 1; Paire: 2; 2 Paires:3; Brelan: 4; Quinte ou mieux:5. toute carte action tirée dont la valeur est supérieure à celle en cours doit être utilisée de suite.</t>
  </si>
  <si>
    <t>Pacte des enfers</t>
  </si>
  <si>
    <t>1 Souffle/round</t>
  </si>
  <si>
    <t>Lancé sur un perso qui vient de mourir, permet de tirer plus de cartes (et Bonus de Dominion pr manitou) pr déterminer si le perso devient Détérré: As:1 Paire:3 2P:5 Brelan:7 Quinte: 11 Flush: 13 Full: 17 Carré: 19 QF:23 RF: 27</t>
  </si>
  <si>
    <t>Fureur des enfers</t>
  </si>
  <si>
    <t>2 Souffle/round</t>
  </si>
  <si>
    <t>Hexarcana 29</t>
  </si>
  <si>
    <t xml:space="preserve">Crée une protection magique qui absorbe un certain niveau de blessure jusqu'à décharge ou fin du sort. As: 1 Paire: 2 Valets: 3 2 Paires: 4 Brelan: 6 Quinte: 8 Flush: 10 Full: 14 Carré au mieux: 20: </t>
  </si>
  <si>
    <t>Entoure le huckster d'une barrière de flammes qui inflige des dégâts et peut enflammer sur la zone de tous ceux qui le touchent (mais pas si lui les touche) Paire: 1d6; 2P: 3d6; Brelan 4d6; Quinte 5d6; Flush ou mieux: 6d6</t>
  </si>
  <si>
    <t>Miroir, miroir</t>
  </si>
  <si>
    <t>Hexarcana 30</t>
  </si>
  <si>
    <t xml:space="preserve">Test d'opposition d'Âme contre la cible (+2 par degré de réussite supérieur à 2P pour le huckster uniquement). En cas de réussite échange un Trait avec sa cible (humain ou presque humain uniquement) pour la durée du sort. </t>
  </si>
  <si>
    <t>Une carte dans la manche</t>
  </si>
  <si>
    <t>Permet de défausser et de repiocher jusqu'à un certain nbre de cartes après jet d'Initiative: As:1 Paire:2  Brelan:3 Quinte:4 Flush 5. Peut défausser une carte tirée grâce à ce sort. Si Joker Noir tiré, carte perdue et contrecoup.</t>
  </si>
  <si>
    <t>Rester en place</t>
  </si>
  <si>
    <t>Hexarcana 31</t>
  </si>
  <si>
    <t>Donne un bonus de +5 (+2/combinaison supérieure obtenue) en Force pour éviter d'être déplacé involontairement OU en Grimper pour éviter de tomber. Bonus de +2 en Tripes (pour éviter de fuir). Malus de -2 en Allure.</t>
  </si>
  <si>
    <t>Œil du démon</t>
  </si>
  <si>
    <t>Le Marshal doit montrer X cartes de la main qu'il a tirée pour l'Initiative d'un ennemi en commençant par la carte la plus forte (sauf dans la manche). As:1 Paire: 2 Valets:3 Brelan:4 Quinte:6 Flush: 8 Full: 10 Carré: Toutes.</t>
  </si>
  <si>
    <t>Arcane (science folle)</t>
  </si>
  <si>
    <t>Sort technologique</t>
  </si>
  <si>
    <t>Analyser</t>
  </si>
  <si>
    <t>1 elixir</t>
  </si>
  <si>
    <t>Hexarcana 37</t>
  </si>
  <si>
    <t>Avec un labo rèvèle les composants d'une formule (al)chimique, réduit la main de conception de l'objet de 2 rangs (min. As), un savant fou peut reproduire l'elixir mais test d'Astuce à 11 pour comprendre son fonctionnement.</t>
  </si>
  <si>
    <t>Barricade</t>
  </si>
  <si>
    <t>Invoque un mur de métal de 3mX3m par niveau de maitrise qui procure un certain niveau d'Armure contre les attaques de projectile: Valets Légère (-4), 2P: 1, Brelan:2, Quinte: 3, Flush: 4. Disparait en rouille à la fin du sort.</t>
  </si>
  <si>
    <t>Haut Fourneau</t>
  </si>
  <si>
    <t>10m/niv.</t>
  </si>
  <si>
    <t>Hexarcana 38</t>
  </si>
  <si>
    <t>Chauffe les métaux (max.3kg par niv.). As:Aucun 1d6 Paire: Plomb 2d6 2P:Zinc 3d6 Brelan:Aluminum 4d6 Quinte:Argent 5d8 Flush:Or/Cuivre 6d8 Full:Nickel 7d10 Carré:Fer 8d10 DF:Acier 9d12 RF:Tungstène 10d12+2</t>
  </si>
  <si>
    <t>A l'épreuve des balles</t>
  </si>
  <si>
    <t>Hexarcana 39</t>
  </si>
  <si>
    <t>Donne 1 niveau d'armure au porteur (+1 niveau par main supérieure) et réduit d'autant l'Agilité du Porteur d'autant de crans de dés (min. 1d4). -5 en Persuader,+2 en Intimider de par l'aspect métallique étrange.</t>
  </si>
  <si>
    <t>Augmente les chances du porteur de se prendre une balle perdue à 2/6 au lieu de 1/6 et la distance à laquelle une balle perdue peut le toucher: As: 1m, Pair:2m, 2P:3m, Brelan:4m, Quinte ou mieux: 5m</t>
  </si>
  <si>
    <t>Stoppe-balles</t>
  </si>
  <si>
    <t>Substance caustique</t>
  </si>
  <si>
    <t>Hexarcana 40</t>
  </si>
  <si>
    <t>Produit un globe d'acide. Touche une cible avec un jet de Tir à 5. Dégâts: Paire: 2d4, 2P:3d6, Brelan 3d8, Quinte: 4d8, Flush: 5d8, Full: 5d10, Carré: 6d10 QF: 7d10 RF: 8d12. Fait des dégâts à chaque round en diminuant d'un cran.</t>
  </si>
  <si>
    <t>Décrypter</t>
  </si>
  <si>
    <t>Hexarcana 41</t>
  </si>
  <si>
    <t>Hexarcana 42</t>
  </si>
  <si>
    <t>Atelier du diable</t>
  </si>
  <si>
    <t>Grenade</t>
  </si>
  <si>
    <t>Détraquer</t>
  </si>
  <si>
    <t>20m/niv.</t>
  </si>
  <si>
    <t>Machine infernale</t>
  </si>
  <si>
    <t>1d4 Souffle/round</t>
  </si>
  <si>
    <t>Hexarcana 43</t>
  </si>
  <si>
    <t>Rafistolage</t>
  </si>
  <si>
    <t>Hexarcana 44</t>
  </si>
  <si>
    <t>Perspicacité malsaine</t>
  </si>
  <si>
    <t>Hexarcana 45</t>
  </si>
  <si>
    <t>Chargeur de munitions</t>
  </si>
  <si>
    <t>Balle magique</t>
  </si>
  <si>
    <t>2 rounds/niv.</t>
  </si>
  <si>
    <t>Magnétiser</t>
  </si>
  <si>
    <t>Hexarcana 46</t>
  </si>
  <si>
    <t>Fuite de puissance</t>
  </si>
  <si>
    <t>Charge de puissance</t>
  </si>
  <si>
    <t>Hexarcana 47</t>
  </si>
  <si>
    <t>Bobine de rasoirs</t>
  </si>
  <si>
    <t>Réfléchir</t>
  </si>
  <si>
    <t>Hexarcana 48</t>
  </si>
  <si>
    <t>Ingénierie Inversée</t>
  </si>
  <si>
    <t>Suivre les rails</t>
  </si>
  <si>
    <t>Hexarcana 49</t>
  </si>
  <si>
    <t>Tempête de ferraille</t>
  </si>
  <si>
    <t>Concentration et 1d4 S/round</t>
  </si>
  <si>
    <t>Hexarcana 50</t>
  </si>
  <si>
    <t>Tesson</t>
  </si>
  <si>
    <t>Choqueur</t>
  </si>
  <si>
    <t>Hexarcana 51</t>
  </si>
  <si>
    <t>Pulvérisation d'argent</t>
  </si>
  <si>
    <t>1 m/niv.</t>
  </si>
  <si>
    <t>Stéganogramme</t>
  </si>
  <si>
    <t>5 jours/niv.</t>
  </si>
  <si>
    <t>Hexarcana 52</t>
  </si>
  <si>
    <t>Transcrire</t>
  </si>
  <si>
    <t>5 min/niv.</t>
  </si>
  <si>
    <t>Hexarcana 53</t>
  </si>
  <si>
    <t>Pincer</t>
  </si>
  <si>
    <t>Une invention</t>
  </si>
  <si>
    <t>Améliorer</t>
  </si>
  <si>
    <t>Gaspiller du produit</t>
  </si>
  <si>
    <t>Hexarcana 54</t>
  </si>
  <si>
    <t>Science folle</t>
  </si>
  <si>
    <t>Hexarcana 55</t>
  </si>
  <si>
    <t>Mise sur écoute</t>
  </si>
  <si>
    <t>18 m/niv.</t>
  </si>
  <si>
    <t>Nada, que dalle</t>
  </si>
  <si>
    <t>Cartes de jeu</t>
  </si>
  <si>
    <t>LGL 145/ Hex 69</t>
  </si>
  <si>
    <t>LGL 145/ Hex 70</t>
  </si>
  <si>
    <t>LGL 141/ Hex 70</t>
  </si>
  <si>
    <t>LGL 139/ Hex 70</t>
  </si>
  <si>
    <t>LGL 141/ Hex 71</t>
  </si>
  <si>
    <t>LGL 142/ Hex 71</t>
  </si>
  <si>
    <t>LGL 139/ Hex 71</t>
  </si>
  <si>
    <t>LGL 138/ Hex 71</t>
  </si>
  <si>
    <t>LGL 140/ Hex 72</t>
  </si>
  <si>
    <t>1/ round</t>
  </si>
  <si>
    <t>Apaisement/ Stress</t>
  </si>
  <si>
    <t>1/ fl.</t>
  </si>
  <si>
    <t>1 à 5</t>
  </si>
  <si>
    <t>1 +1/cart</t>
  </si>
  <si>
    <t>LGL 136/Hex 74</t>
  </si>
  <si>
    <t>LGL 138/ Hex 75</t>
  </si>
  <si>
    <t>LGL 144/Hex 75</t>
  </si>
  <si>
    <t>2+1/cible</t>
  </si>
  <si>
    <t>LGL 144/ Hex 76</t>
  </si>
  <si>
    <t>1/atk</t>
  </si>
  <si>
    <t>LGL 143/Hex 76</t>
  </si>
  <si>
    <t>LGL 141/ Hex 77</t>
  </si>
  <si>
    <t>3+ coût</t>
  </si>
  <si>
    <t>LGL 138/ Hex 77</t>
  </si>
  <si>
    <t>LGL 143/ Hex 78</t>
  </si>
  <si>
    <t>LGL 140/ Hex 78</t>
  </si>
  <si>
    <t>LGL 137/ Hex 79</t>
  </si>
  <si>
    <t>LGL 140/ Hex 79</t>
  </si>
  <si>
    <t>2+1/balle</t>
  </si>
  <si>
    <t>LGL 136/ Hex 79</t>
  </si>
  <si>
    <t>LGL 142/ Hex 81</t>
  </si>
  <si>
    <t>LGL 144/ Hex 81</t>
  </si>
  <si>
    <t>LGL 139/ Hex 82</t>
  </si>
  <si>
    <t>2/ round</t>
  </si>
  <si>
    <t>LGL 143/ Hex 82</t>
  </si>
  <si>
    <t>LGL 137/ Hex 83</t>
  </si>
  <si>
    <t>LGL 144/ Hex 83</t>
  </si>
  <si>
    <t>LGL 136/ Hex 71</t>
  </si>
  <si>
    <t>Griffe du dragon</t>
  </si>
  <si>
    <t>Hexarcana 72</t>
  </si>
  <si>
    <t>Faire un jet de Ki: pour chaque succès obtenu les attaques à mains nues peuvent percer un niveau d'armure.</t>
  </si>
  <si>
    <t>La fureur ventile la flamme</t>
  </si>
  <si>
    <t>Hexarcana 74</t>
  </si>
  <si>
    <t>Après avoir réussi une atk à mains nues avec au moins un succès, jet de Ki à 7. En cas de réussite, porte immédiatement une nouvelle atk (sans armes) sans dépenser de carte action.</t>
  </si>
  <si>
    <t>L'étreinte du serpent</t>
  </si>
  <si>
    <t>Hexarcana 80</t>
  </si>
  <si>
    <t>Pièce de fumée contre du fer</t>
  </si>
  <si>
    <t>Hexarcana 81</t>
  </si>
  <si>
    <t>Tant que ce pouvoir est maintenu, les attaques à mains nues de porteur sont considérées comme magiques et peuvent affecter les créatures immunisées aux dégâts physiques.</t>
  </si>
  <si>
    <t>Veines de fer</t>
  </si>
  <si>
    <t>Hexarcana 82</t>
  </si>
  <si>
    <t>Tant que ce pouvoir est actif, le perso peut pour chaque succès obtenu sur un jet de Ki, diminuer toute perte de Souffle due à une blessure de 5 maximum. Ne fonctionne qu'en combat et pas contre la famine ou le climat.</t>
  </si>
  <si>
    <t>Vengeance du singe furieux</t>
  </si>
  <si>
    <t>Peut projeter n'importe quel petit objet en réussissant un jet d'Art Martiaux jusqu'à 5mX Rang de Ki. Le projectile fait Force + 1d6 dégâts/succès obtenus sur un jet de Ki.</t>
  </si>
  <si>
    <t>4 à Instantané</t>
  </si>
  <si>
    <t>1h à 1min</t>
  </si>
  <si>
    <t>Après avoir réussi une atk à mains nues ciblant un bras ou une jambe (malus de ciblage), jet de Ki contre la Vigueur de la cible. En cas de succès le membre est inutilisable tant que ce pouvoir est maintenu. Sans effet sur les M-V et non-humains.</t>
  </si>
  <si>
    <t>Avec 5$, transforme un objet de valeur (max rang de maitrise objets) appartenant au vaudousite. Tant que cet objet est possédé par qqun d'autre cette personne a besoin d'un 1 en moins sur ses dés pour se planter (min.1)</t>
  </si>
  <si>
    <t>Provoque des visions des Terres de chasse et force une personne à vue à effectuer un test de Tripes à (7+ 1 par succès obtenu lors de la préparation du gris-gris).</t>
  </si>
  <si>
    <t>Avec 10$, protège le porteur de ce gris-gris d'autant de perte de niveau de blessure (ou de tranche de 5 souffles) que de succès obtenus lors de la préparation. Se décharge en 1X.  Ne cible que le vaudouiste et ne peut en porter qu'un à la fois.</t>
  </si>
  <si>
    <t>Cible la préparation de vaudou qui sera préparée dans la foulée. Si ce 1er gris-gris est préparé avec succès, donne un succès supplémentaire au prochain gris-gris. Si le test est manqué, subit les effets d'un plantage.</t>
  </si>
  <si>
    <t>7 à 13</t>
  </si>
  <si>
    <t>Permet avec un gris-gris, 20$ et en connaissant le nom de le personne qui l'a détenu en 1er, de faire disparaitre un document comprometant. Le SD dépend du nombre de copies: 2: 13; 3-4: 11; 5-9: 9; 7+: 7</t>
  </si>
  <si>
    <t>Fiab.</t>
  </si>
  <si>
    <t>L</t>
  </si>
  <si>
    <t>G</t>
  </si>
  <si>
    <t>C</t>
  </si>
  <si>
    <t>S</t>
  </si>
  <si>
    <t>Trait Anglais</t>
  </si>
  <si>
    <t>Trait Français</t>
  </si>
  <si>
    <t>Blessures</t>
  </si>
  <si>
    <t>+1/-1</t>
  </si>
  <si>
    <t>+2/-2</t>
  </si>
  <si>
    <t xml:space="preserve">Améliore un objet. La main a tirer pour que le sort fonctionne est d'un niveau inférieur à celle que le hukster devrait obtenir pour une amélioration. La fiabilité de l'objet chute à 10+2 par main supérieure obtenue (Max 16 ou celle d'origine). </t>
  </si>
  <si>
    <t>Permet de réduire le temps de construction d'un objet d'un certain pourcentage: Paire: 10% 2P:20% Brelan:30% Quinte:40% Full:50% Carré ou mieux: 60% RF:75%</t>
  </si>
  <si>
    <t>Tant qu'une balle touche (avec le jet d'incantation), elle est automatiquement redirigée vers un certains nombre de cibles supplémentaires. Dès qu'une balle manque une cible, le sort prend fin. As:1 Valets:2 2P:3 Brelan:4 Flush:5 Royal Flush:6</t>
  </si>
  <si>
    <t>Entoure une cible de fils barbelés. Pour se libérer: test d'Agilité de TN (3+1/Main supérieure obtenue). Subit autant de dmg de souffle que la différence pour réussir le test. Peut retenter au début du round suivant sauf si Plantage.</t>
  </si>
  <si>
    <t>Augmente la production d'une source d'énergie de 10% +10% par main supérieure à As mais consomme autant de cardurant en plus. Les objets qui ne consomment pas d'énergie perdent 1 point de fiabilité par main supérieure à As.</t>
  </si>
  <si>
    <t>Diminue la production d'une source d'énergie de 10% -10% par main supérieure à As mais diminue d'autant la consommation de cardurant. Peut contrer Charge de puissance. N'afecte pas les charges magiques.</t>
  </si>
  <si>
    <t>Affecte une arme de poing ou une carabine uniquement et lui donne des munitions infinies. Sans effet sur les armes exotiques comme les lance-flammes ni les canons. N'augmente pas la cadence de tir.</t>
  </si>
  <si>
    <t>Tant que le sort perdure ou jusqu'à décharge, charge un objet métalique d'une puissance électrostatique. Quiconque touche l'objet subit des dégâts de souffle: As: 1d4 Paire: 2d4 Valets 2d6 2P: 3d6 Brelan:4d8 Flush 5d8 Full ou mieux: 6d10</t>
  </si>
  <si>
    <t>Tant que le sort perdure, donne un bonus de +5 (+2 par main supérieure à As) en Carrière: Scientifique uniquement pour décrypter des codes. Sans effet pour décoder un Stéganogramme.</t>
  </si>
  <si>
    <t>Absences</t>
  </si>
  <si>
    <t>Désillusion</t>
  </si>
  <si>
    <t>Tant que dure le sort simule une Démence chez une cible. Paire: Juste une idée étrange ex: "Les chevaux sont doués en maths", Valets: Absences, 2P: Phobie Mineure, Brelan: Paranoïa, Carré: Phobie Majeure, Flush ou mieux: Illusion ou Désillusion</t>
  </si>
  <si>
    <t>Cause un mauvais fonctionnement dans un objet de Science folle. Paire: test de fiabilité (TN+2), Valets: test de fiabilité (TN+4), 2P: Mauvais fonctionnement mineur, Brelan:Mauvais fonctionnement majeur, Flush ou mieux: Catastrophe!</t>
  </si>
  <si>
    <t>Neutralise et change (5kg par niv. de maitrise) de dynamite, nitro, poudre noire ou tout autre combustible en cendres. La main dépends des dégâts causés par l'explosif: Paire d4, Valets d6,2P:d8, Brelan: d10, Quinte: d12, Flush ou mieux: d20</t>
  </si>
  <si>
    <t>Invoque une grenade de métal qui explose au contact. Fonctionne comme de la dynamite. Les dégâts dépendent de la main: Paire: 1d6 souffle, Valets: 2d4, 2P:2d6, Brelan: 3d8, Quinte:4d8, Flush:4d10 Full:5d10, Carré:6d10, SF:7d12 RF:7d20</t>
  </si>
  <si>
    <t>Permet de deviner la théorie d'un objet de Science Folle déjà existant. La main à obtenir est de 2 rangs inférieure à celle pour créer le même objet et prends 5minX ce même rang. Si le huckster n'est pas lui-même un savant fou, voir le descriptif.</t>
  </si>
  <si>
    <t>Permet d'improviser un objet de Science Folle à partir des matérieux et de la théorie adéquate. Celui-ci ne fonctionne que pendant 1 min. seulement avec une fiabilité de (10+ votre niv. De maitrise+1 par main supérieure obtenue. Max. 18)</t>
  </si>
  <si>
    <t xml:space="preserve">Permet de magnétiser un objet métalique de max 10kgX Niv. De maitrise. Tt autre objet en métal plus léger que celui-ci est attiré dans un rayon égal à 0,3mx le TN de Force et demande un jet de Force de (3+1 par main supérieure) pour être décollé. </t>
  </si>
  <si>
    <t>Permet d'intercepter, modifier et envoyer des messages même sans connaitre le morse grâce aux lignes de télégraphe. As: Ecouter tout message envoyé ou reçu, Paire: Envoyer un message, Valets: Stopper un envoi, 2P: Tout message jusqu'à 1j.</t>
  </si>
  <si>
    <t>Tant que dure le sort, rend un objet de science folle totalement inactif. La main à obtenir est de deux rangs inférieure à celle à obtenir pour mettre le même objet au point. Peut être contré par un jet de bidouiller supérieur à l'âme du huckster.</t>
  </si>
  <si>
    <t>Si lancé avec succès, le huckster tire (1 +1 par main supérieure à As) carte en plus pour mettre au point un objet de Science Folle. Un contrecoup est subi normalement s'il y a lieu mais celui-ci affecte aussi l'objet et le temps de recherche.</t>
  </si>
  <si>
    <t>Donne un bonus temporaire à la fiabilité d'un objet de science folle de (2+1 par main supérieure à Paire). Sur une main de Brelan ou mieux, si l'objet rate son test de fiabilité, lancez 2X les dés pour déterminer le type de malfonctionnement.</t>
  </si>
  <si>
    <t>Tant que dure le sort peut augmenter soit la fiabilité soit la durabilité d'un objet qui en a perdu jusqu'à son maximum d'origine. Fonctionne sur tout objet même s'il n'est pas de Science Folle. Voir tableau Hexarcana p. 44</t>
  </si>
  <si>
    <t xml:space="preserve">Projette un cone (extrêmité 0,5m X niv. de maitrise de largeur) de débris qui causent des dégâts à tte créature qui s'y trouve comme une explosion: Valets: 2d4, 2P:3d4, Brelan: 4d4, Quinte:5d6, Flush:6d6 Full:7d6, Carré:8d6, QF:9d8 RF:10d8. </t>
  </si>
  <si>
    <t>Tant que dure le sort, permet au huskster de faire deux jets à chaque fois qu'il utilise Science: Science Folle et de garder le meilleur avec un bonus de +2 pour chaque main supérieure obtenue. Tout plantage sur ces jets conduit à une catastrophe.</t>
  </si>
  <si>
    <t>Permet de cacher le contenu exact d'un message afin que celui-ci ne soit lisible que des personnes que vous avez désigné au moment de sa conception. Voir le descriptif complet dans Hexarcana p.52</t>
  </si>
  <si>
    <t>Permet de se déplacer rapidement sous une forme intangible en utilisant les voies de chemin de fer. La distance parcourue et le temps que cela prend dépendent de la main obtenue. Voir tableau Hexarcana p.49.</t>
  </si>
  <si>
    <t>Permet de renvoyer un sort qui cible le huckster à son lanceur. La main à obtenir varie avec le niveau d'invocation du lanceur: As:1 Paire:2, Valets:3, 2Paires:4, Brelan:5, Quinte:6, Flush:7 Full:8, Carré:9, Quinte Flush:10 Royal Flush:11+</t>
  </si>
  <si>
    <t>Produit une tornade autour du huckster de 4,5m de diamètre centrée sur le hukster dans un oeuil de 1m. Toute atk qui traverse le cyclone a un malus de -2. Valets 1D4S, 2P: 2d4, Brelan 3d6, Quinte 4d6, Flush 4d8, Full: 5d8, Carré 6d8, QF: 6d10, RF 7d12</t>
  </si>
  <si>
    <t>Crée autant de projectiles de métal que le niv. de magie du huskster. Augmente le ND du sort de +2 par projectile et par cible au-delà de la 1ère. P:1D4S, Valets: 2d6, 2P: 3d6, Brelan 4d6, Quinte 5d8, Flush 6d8, Full: 7d8, Carré 8d10, QF: 9d10, RF 10d12</t>
  </si>
  <si>
    <t>Permet de recopier des paroles dans un rayon de 1,5m par niv. sur un support adéquat. Ne permet pas de traduire et recopie alors phonétiquement. Différencie les locuteurs par une police de caratère différente.</t>
  </si>
  <si>
    <t>MENTAL (Si pas de compétence résultat du jet de trait/2; Si concentration similaire SD+2</t>
  </si>
  <si>
    <t>Sert pour les dégâts et le calcul de la charge portable</t>
  </si>
  <si>
    <t>Donne le maximum d'1D en plus qui s'ajoute au plus haut résultat OU permet de relancer un jet au complet quel que soit le résultat. 1 Verte par action max.</t>
  </si>
  <si>
    <t>Vous pouvez dépenser une pépite pour quelqu'un d'autre mais il faut en mettre une identique dans le chaudron.</t>
  </si>
  <si>
    <t>Démences</t>
  </si>
  <si>
    <t>Colt New Line .30</t>
  </si>
  <si>
    <t>Colt New Line .38</t>
  </si>
  <si>
    <t>Carabine Volcanic .38</t>
  </si>
  <si>
    <t>Carabine Volcanic .41</t>
  </si>
  <si>
    <t>Carabine Spencer .52</t>
  </si>
  <si>
    <t>Carabine Spencer .56-50</t>
  </si>
  <si>
    <t>Capable de faire appel à des puissances surnaturelles dues à la technologie et à la roche fantôme</t>
  </si>
  <si>
    <t>Permet de lancer un sort unique de magie noire/ peut être possédé par les âmes prisonières de l'objet</t>
  </si>
  <si>
    <t>Catholicisme (Lost Angels)</t>
  </si>
  <si>
    <t>♥</t>
  </si>
  <si>
    <t>♠</t>
  </si>
  <si>
    <t>♦</t>
  </si>
  <si>
    <t>♣</t>
  </si>
  <si>
    <t>d4</t>
  </si>
  <si>
    <t>d6</t>
  </si>
  <si>
    <t>d8</t>
  </si>
  <si>
    <t>d10</t>
  </si>
  <si>
    <t>d12</t>
  </si>
  <si>
    <t>Création</t>
  </si>
  <si>
    <t>1ère carte</t>
  </si>
  <si>
    <t>2ème carte</t>
  </si>
  <si>
    <t>3ème carte</t>
  </si>
  <si>
    <t>4ème carte</t>
  </si>
  <si>
    <t>5ème carte</t>
  </si>
  <si>
    <t>6ème carte</t>
  </si>
  <si>
    <t>7ème carte</t>
  </si>
  <si>
    <t>8ème carte</t>
  </si>
  <si>
    <t>9ème carte</t>
  </si>
  <si>
    <t>10ème carte</t>
  </si>
  <si>
    <t>Valeur</t>
  </si>
  <si>
    <t>Couleur</t>
  </si>
  <si>
    <t>Trait</t>
  </si>
  <si>
    <t>Coord.</t>
  </si>
  <si>
    <t>Minable</t>
  </si>
  <si>
    <t>Moyen</t>
  </si>
  <si>
    <t>Bon</t>
  </si>
  <si>
    <t>Etonnant</t>
  </si>
  <si>
    <t>Incroyable</t>
  </si>
  <si>
    <t>Joker</t>
  </si>
  <si>
    <t>Description</t>
  </si>
  <si>
    <t>Valet</t>
  </si>
  <si>
    <t>Dame</t>
  </si>
  <si>
    <t>Roi</t>
  </si>
  <si>
    <t>Ennemi juré</t>
  </si>
  <si>
    <t>Handicap "Pas de Bol" jusqu'à ce que la malédiction soit levée</t>
  </si>
  <si>
    <t>Sosie</t>
  </si>
  <si>
    <t>Parenté</t>
  </si>
  <si>
    <t>Sixième Sens</t>
  </si>
  <si>
    <t>Zones d'Ombres</t>
  </si>
  <si>
    <t>Pacte ancien</t>
  </si>
  <si>
    <t>Arcanes</t>
  </si>
  <si>
    <t>Hanté</t>
  </si>
  <si>
    <t>Le personnage a un sosie bon et apprécié.</t>
  </si>
  <si>
    <t>Le personnage a des trous de mémoires sur son passé bénéfique et des visions de celui-ci finissent par le rattraper.</t>
  </si>
  <si>
    <t>Le personnage a des trous de mémoires sur son passé maléfique et des visions de celui-ci finissent par le rattraper.</t>
  </si>
  <si>
    <t>Quelqu'un doit une faveur au personnage. C'est une dette loyale. (Par exemple pour avoir sauvé la vie de cette personne)</t>
  </si>
  <si>
    <t>Un fantôme maléfique hante le héro à chaque fois qu'il tire un Joker. Il tente de le duper et/ou de le distraire dans les pires moments.</t>
  </si>
  <si>
    <t>Héritage</t>
  </si>
  <si>
    <t>Relique</t>
  </si>
  <si>
    <t>Le personnage est mort à son ainsu mais détient le Doninion sur son manitou.</t>
  </si>
  <si>
    <t>Mystères</t>
  </si>
  <si>
    <t>Empathie/ Antipathie animale</t>
  </si>
  <si>
    <t>Le personnage a un sosie maléfique et recherché. (Bandit, Charlatan, tueur ou quiconque ayant une mauvaise réputation)</t>
  </si>
  <si>
    <t>Le personnage a un ennemi juré particuilèrement revanchard et hargneux qui ne manque jamais une occasion de pourrir la vie du héro de manière récurrante.</t>
  </si>
  <si>
    <t>Un membre de la famille ou un ancien ami est impliqué dans le gang et est prêt à tout pour pourrir la vie du héro</t>
  </si>
  <si>
    <t>Un membre de la famille ou un ami est impliqué dans le gang et est prêt à prendre des risques pour aider le héro. En contre partie le héro doit voler à son secours si nécéssaire.</t>
  </si>
  <si>
    <t>Le personnage est mort à son ainsu et n'a qu'un seul point d'avantage de Doninion de son manitou.</t>
  </si>
  <si>
    <t>Joker Rouge</t>
  </si>
  <si>
    <t>Le personnage possède à son insu un avantage "Arcane" (Occulte, Vaudou ou Magie du Sang). Peut être révélé sur un jet d'Astuce difficile (9)</t>
  </si>
  <si>
    <t>Le personnage possède à son insu un avantage "Arcane" (Croyant, Chamane, Aztèque, Anahuac ou Illumination). Peut être révélé sur un jet d'Astuce difficile (9)</t>
  </si>
  <si>
    <t>Quelqu'un doit une faveur au personnage. C'est une dette ingrate. (Par exemple obtenue par connivence ou chantage qui ne fonctionnera plus aujourd'hui)</t>
  </si>
  <si>
    <t>Le personnage a un ennemi juré par particulièrement retord mais pas assez hargneux que pour ne lui pourrir la vie que de temps en temps.</t>
  </si>
  <si>
    <t>Infecté</t>
  </si>
  <si>
    <t>AGILITE</t>
  </si>
  <si>
    <t>ÂME</t>
  </si>
  <si>
    <t>FORCE</t>
  </si>
  <si>
    <t>INTELLECT</t>
  </si>
  <si>
    <t>VIGUEUR</t>
  </si>
  <si>
    <t>Mod.</t>
  </si>
  <si>
    <t>ALLURE</t>
  </si>
  <si>
    <t>CHARISME</t>
  </si>
  <si>
    <t>PARADE</t>
  </si>
  <si>
    <t>RESISTANCE</t>
  </si>
  <si>
    <t>TREMPE</t>
  </si>
  <si>
    <t>d</t>
  </si>
  <si>
    <t>TRAITS</t>
  </si>
  <si>
    <t>CARACTERISTIQUES DERIVEES</t>
  </si>
  <si>
    <t>Pts de Pouvoir</t>
  </si>
  <si>
    <t>Compétences Reloaded</t>
  </si>
  <si>
    <t>Conduite</t>
  </si>
  <si>
    <t>Intellect</t>
  </si>
  <si>
    <t>Crochetage</t>
  </si>
  <si>
    <t>Discrétion</t>
  </si>
  <si>
    <t>Attribut</t>
  </si>
  <si>
    <t>Escalade</t>
  </si>
  <si>
    <t>Intimidation</t>
  </si>
  <si>
    <t>Natation</t>
  </si>
  <si>
    <t>Navigation</t>
  </si>
  <si>
    <t>Pilotage</t>
  </si>
  <si>
    <t>Pistage</t>
  </si>
  <si>
    <t>Recherche</t>
  </si>
  <si>
    <t>Réparation</t>
  </si>
  <si>
    <t>Réseaux</t>
  </si>
  <si>
    <t>Sarcasme</t>
  </si>
  <si>
    <t>Soins</t>
  </si>
  <si>
    <t>Tir</t>
  </si>
  <si>
    <t>COMPETENCES</t>
  </si>
  <si>
    <t>ATTRIBUTS</t>
  </si>
  <si>
    <t>Maj/Min</t>
  </si>
  <si>
    <t>Descriptif Deadlands Reloaded</t>
  </si>
  <si>
    <t>Descriptif Deadlands Classic</t>
  </si>
  <si>
    <t>Source  Deadlands Classic</t>
  </si>
  <si>
    <t>Source Deadlands Reloaded</t>
  </si>
  <si>
    <t>Base 55</t>
  </si>
  <si>
    <t>Base 56</t>
  </si>
  <si>
    <t>Anémique</t>
  </si>
  <si>
    <t>Particulièrement sensible aux maladies, à la fatigue et aux effets de l’environnement. -2 à tous les jets de Vigueur pour résister à la fatigue, au poison, aux maladies.</t>
  </si>
  <si>
    <t>-2 à tous les jets de Vigueur pour résister à la fatigue, au poison, aux maladies.</t>
  </si>
  <si>
    <t>Ton héros ne pense pas qu’il est le meilleur, il sait qu’il l’est. Quel que soit le domaine (épée, kung-fu, course) nul ne peut le battre et il le prouve à chaque occasion. Gagner ne lui suffit pas. Il doit totalement dominer son adversaire.</t>
  </si>
  <si>
    <t>-6 à toutes les tâches nécessitant la vue (à peu près toutes ou presque) et -2 à toutes les interactions en société (il ne peut pas déchiffrer les expressions de ses interlocuteurs). Un Atout gratuit.</t>
  </si>
  <si>
    <t>Ne sait pas garder un secret, il dévoile tout les plans et même les secrets les mieux gardés de ses amis et choisit toujours le plus mauvais moment pour le faire.</t>
  </si>
  <si>
    <t>Manie/Bizzarerie (simple indisposition)</t>
  </si>
  <si>
    <t>Manie/Bizzarerie (grave indisposition)</t>
  </si>
  <si>
    <t>Manie/Bizzarerie (totalement écoeurant)</t>
  </si>
  <si>
    <t>Ton héros possède une bizarrerie, rien de grave, mais pouvant lui causer des ennuis</t>
  </si>
  <si>
    <t>Ton héros possède une bizarrerie vraiment répugnante, qui lui cause toujours des ennuis.</t>
  </si>
  <si>
    <t>Allure réduite de 1 et il n’utilise qu’un d4 pour courir. L’Allure d’un personnage ne peut jamais descendre en dessous de 1.</t>
  </si>
  <si>
    <t>-3 pour tous les jets d’Aptitude pour voir ou toucher quelque chose au-delà de 20 mètres.</t>
  </si>
  <si>
    <t>-4 à toutes les tâches nécessitant la vue (à peu près toutes ou presque). -1 à son Charisme à cause de sa vilaine blessure. -2 à tout jet de Trait nécessitant de visualiser la profondeur de champ (tirer, Lancer, sauter d’un mât à l’autre et ainsi de suite).</t>
  </si>
  <si>
    <t>Base 57</t>
  </si>
  <si>
    <t>Chimères (mineures)</t>
  </si>
  <si>
    <t>Chimères (majeures)</t>
  </si>
  <si>
    <t>Ton héros croit en des choses qui paraissent étranges pour les autres. Les Chimères Mineures sont inoffensives ou alors le personnage y fait rarement allusion</t>
  </si>
  <si>
    <t>Ton héros croit en des choses qui paraissent étranges pour les autres.  Avec une Chimère Majeure, il exprime souvent ses opinions
sur le sujet et cela peut s’avérer dangereux</t>
  </si>
  <si>
    <t>Le personnage a une croyance particulière très dérangeante. Tous ses jets de persuasion sont à -2</t>
  </si>
  <si>
    <t>L’honneur est très important aux yeux de ton personnage. Il n’a qu’une parole, traite ses prisonniers avec décence et se conforme d’ordinaire aux codes de bonne conduite et règles de bienséance de son monde.</t>
  </si>
  <si>
    <t>Tous ses jets de Tripes subissent un malus de -2.</t>
  </si>
  <si>
    <t>Cupide (mineur)</t>
  </si>
  <si>
    <t>Cupide (majeur)</t>
  </si>
  <si>
    <t>Ton héros est un grippe-sou qui mesure sa valeur en monnaies sonnantes et trébuchantes. Il mégote pour le moindre butin acquis durant la partie</t>
  </si>
  <si>
    <t>Le personnage est même prêt à tuer pour obtenir le plus possible d’argent ou de pouvoir.</t>
  </si>
  <si>
    <t>C’est un vilain défaut et ton personnage est très vilain. Les personnages Curieux sont facilement attirés par l’aventure. Il faut qu’ils fouillent partout et désirent toujours savoir ce qui se cache derrière chaque mystère.</t>
  </si>
  <si>
    <t>-2 à tous ses jets de Perception liés à l’audition y compris se réveiller à cause du bruit.</t>
  </si>
  <si>
    <t>Le personnage est sourd et rate automatiquement tous ses jets de Perception liés à l’audition.</t>
  </si>
  <si>
    <t>Un Ennemi Mineur sera un cow-boy solitaire avide de vengeance.</t>
  </si>
  <si>
    <t>Un Ennemi Majeur sera un cow-boy démoniaque vouant une haine implacable envers ton héros.</t>
  </si>
  <si>
    <t>Les marchands augmentent leurs prix pour le personnage, lui refusent leur aide et le traitent comme s’il était d’un rang inférieur. -2 en Charisme.</t>
  </si>
  <si>
    <t>Résistance est réduite de 1 à cause d'une faible stature.</t>
  </si>
  <si>
    <t>Ne dit jamais non à une personne dans le besoin. Cela peut ne pas lui plaire mais il se sent obligé de secourir ceux qu’il considère sans défense</t>
  </si>
  <si>
    <t>Base 58</t>
  </si>
  <si>
    <t>-2 à tous les jets de Connaissance</t>
  </si>
  <si>
    <t>Ne sait ni lire, ni écrire, quelque soit par ailleurs le nombre de langues, pas même les mots les plus simples de sa langue natale.</t>
  </si>
  <si>
    <t>Reçoit un Jeton de moins par session de jeu.</t>
  </si>
  <si>
    <t>-4 pour les tâches qui requièrent deux bras comme Escalade par exemple</t>
  </si>
  <si>
    <t>Commence chaque session de jeu avec 1 Jeton de moins, ce qui représente son état de fatigue constant. Cumulable avec Malchanceux</t>
  </si>
  <si>
    <t>Base 59</t>
  </si>
  <si>
    <t>Charisme réduit de 2 et est généralement rejeté par les membres du sexe opposé.</t>
  </si>
  <si>
    <t>Avec lunettes il ne subit aucune pénalité. S’il perd ses lunettes (50 % de chance lorsqu’il est blessé) -2 à tous ses jets de Trait pour Tirer ou Percevoir quelque chose situé à plus de 5 cases (10m)</t>
  </si>
  <si>
    <t>Un Obèse ajoute 1 à sa Résistance, réduit de 1 son Allure et il utilise un d4 pour courir.</t>
  </si>
  <si>
    <t>Un Costaud ajoute 1 à sa Résistance, utilise un d8 au maximum pour courir.</t>
  </si>
  <si>
    <t>Ne se bat que lorsqu’il n’a pas d’autre choix et n’accepte pas le meurtre de prisonniers ou de victimes sans défenses</t>
  </si>
  <si>
    <t>Ne combattra aucun être vivant dans aucune circonstance. Il peut se défendre, mais ne fera jamais rien qui puisse blesser une créature vivante ou pensante</t>
  </si>
  <si>
    <t>Tant qu’il lui reste une blessure, pénalité supplémentaire de -1 à toutes les actions.</t>
  </si>
  <si>
    <t>Chaque fois qu’il est en présence de sa phobie, il subit -2 à tous ses jets de Traits</t>
  </si>
  <si>
    <t>Chaque fois qu’il est en présence de sa phobie, il subit -4 à tous ses jets de Traits</t>
  </si>
  <si>
    <t>À cause de son inexpérience des coutumes de l’Ouest, ton pauvre héros souffre d’une pénalité de -1 à sa Trempe. Il ne peut choisir l’Atout Vrai dur à cuire.</t>
  </si>
  <si>
    <t>Débute avec la moitié des fonds usuels. Chaque semaine de jeu environ, son joueur divise ses fonds par deux.</t>
  </si>
  <si>
    <t>Rien ne peut résister à ton héros. C’est du moins ce qu’il croit. Il se croit capable de tout faire et ne recule devant aucun défi.</t>
  </si>
  <si>
    <t>Base 60</t>
  </si>
  <si>
    <t>Ce personnage incarne l’extrême prudence. Il ne prend aucune décision hâtive, a besoin du maximum d’informations et de peaufiner le moindre détail avant d’agir.</t>
  </si>
  <si>
    <t>Le personnage rendra toujours coup pour coup chaque tort qu’on lui fait, à sa façon. Il ira jusqu'au meurtre pour se venger.</t>
  </si>
  <si>
    <t>Le personnage rendra toujours coup pour coup chaque tort qu’on lui fait, à sa façon dans les limites de la Loi.</t>
  </si>
  <si>
    <t>En plus d’avoir quelqu’un aux trousses, il y a également une prime sur la tête de ton hombre. La récompense est de 1d6 × 50 $.</t>
  </si>
  <si>
    <t>En plus d’avoir quelqu’un aux trousses, il y a également une prime sur la tête de ton hombre. La récompense est de 1d6 × 100 $.</t>
  </si>
  <si>
    <t>En plus d’avoir quelqu’un aux trousses, il y a également une prime sur la tête de ton hombre. La récompense est de 1d6 × 1000 $.</t>
  </si>
  <si>
    <t>En plus d’avoir quelqu’un aux trousses, il y a également une prime sur la tête de ton hombre. La récompense est de 1d6 × 500 $.</t>
  </si>
  <si>
    <t>En plus d’avoir quelqu’un aux trousses, il y a également une prime sur la tête de ton hombre. La récompense est de 1d6 × 3000 $.</t>
  </si>
  <si>
    <t>Chaque fois qu’il est en présence de sa phobie, il subit -1 à tous ses jets de Traits</t>
  </si>
  <si>
    <t>Chaque fois qu’il est en présence de sa phobie, il subit -3 à tous ses jets de Traits</t>
  </si>
  <si>
    <t>Chaque fois qu’il est en présence de sa phobie, il subit -5 à tous ses jets de Traits</t>
  </si>
  <si>
    <t>Rien à perdre</t>
  </si>
  <si>
    <t>Le personnage ne tient à la vie que pour atteindre un but qu’il s’est fixé. Si l’occasion de réaliser son but se présente, il fera n’importe quoi et prendra tous les risques pour y parvenir.</t>
  </si>
  <si>
    <t>Le Personnage fait rarement preuve de gentillesse. Il fait payer le moindre des services qu’il rend et va jusqu’à faire la grimace quand on le récompense. Son Charisme est réduit de 2.</t>
  </si>
  <si>
    <t>Le personnage n’est peut-être pas l’archétype du héros, mais il donnerait sa vie pour ses amis.</t>
  </si>
  <si>
    <t>Ton héros ne fait jamais de prisonniers à moins d’être sous la surveillance étroite d’un supérieur. Le Charisme réduit de 4 si la cruauté de la conduite est un fait connu de tous.</t>
  </si>
  <si>
    <t>Le personnage ne tient à la vie que pour atteindre un but qu’il s’est fixé. Si l’occasion de réaliser son but se présente, il ira jusqu'à mourir pour y parvenir.</t>
  </si>
  <si>
    <t>Les sceptiques subissent un malus de -2 à leurs jets de Terreur lorsqu’ils sont confrontés à l’horreur d’un phénomène surnaturel.</t>
  </si>
  <si>
    <t>Le personnage peut prendre le train mais a juré de ne jamais utiliser quoi que ce soit fabriqué par les Visages Pâles</t>
  </si>
  <si>
    <t>Le Personnage n’utilisera même pas passivement le moindre engin et refusera de monter sur quelque chose de plus complexe qu’un chariot tiré par des chevaux</t>
  </si>
  <si>
    <t>Base 61</t>
  </si>
  <si>
    <t>Une fois qu’il dort, il doit faire un jet de Perception (-4) pour se réveiller et subit également une pénalité de -4 à ses jets de Vigueur</t>
  </si>
  <si>
    <t>Soustrait toujours 1 à ses jets de fatigue pour résister à l’effort physique. A la fin de chaque session de jeu, le personnage doit faire un jet de Vigueur. S’il le rate, la maladie empire en chronique.</t>
  </si>
  <si>
    <t>Soustrait toujours 2 à ses jets de fatigue pour résister à l’effort physique. A la fin de chaque session de jeu, le personnage doit faire un jet de Vigueur. S’il le rate, la maladie empire en mortelle.</t>
  </si>
  <si>
    <t>Ton héros veut toujours avoir raison et n’admettra jamais ses torts. Même devant la preuve évidente de son erreur il continue à se justifier de toutes les manières possibles.</t>
  </si>
  <si>
    <t>Sans béquille l’Allure passe à 2 et ne peut pas courir. -2 à tous les jets qui nécessitent de la mobilité, comme Grimper et Combat. -2 à ses jets de Natation (et -2 à son Allure dans l’eau).</t>
  </si>
  <si>
    <t>-2 à tous les jets d’Intimidation et de Persuasion quand il devra dire des mensonges - même les tout petits inoffensifs y compris pour le Bluff.</t>
  </si>
  <si>
    <t>Types Atout</t>
  </si>
  <si>
    <t>Commandement</t>
  </si>
  <si>
    <t>Rang</t>
  </si>
  <si>
    <t>Agilité d8</t>
  </si>
  <si>
    <t>Il ignore le malus de -2 habituel pour la main non-directrice.</t>
  </si>
  <si>
    <t>Base 62</t>
  </si>
  <si>
    <t>Base 63</t>
  </si>
  <si>
    <t>Âme d6</t>
  </si>
  <si>
    <t>+2 à tous les jets de Tripes et Terreur</t>
  </si>
  <si>
    <t>Chanceux</t>
  </si>
  <si>
    <t>Tire deux pépites supplémentaires en début de partie. Ne peuvent pas être converties en prime à la fin de l’aventure.</t>
  </si>
  <si>
    <t>Force et Vigueur d6</t>
  </si>
  <si>
    <t>Ajoutez +1 à sa Résistance. En outre, ton héros est également capable de porter 4 fois sa Force en kg sans malus, au lieu de 2 fois chez les gens ordinaires.</t>
  </si>
  <si>
    <t>Intellect d6</t>
  </si>
  <si>
    <t>---</t>
  </si>
  <si>
    <t>Chaque fois que le personnage se plante, les conséquences sont les plus catastrophiques possibles.</t>
  </si>
  <si>
    <t>Guérison Rapide</t>
  </si>
  <si>
    <t>Vigueur d8</t>
  </si>
  <si>
    <t>+2 à ses jets de Vigueur pour guérison naturelle</t>
  </si>
  <si>
    <t>Base 64</t>
  </si>
  <si>
    <t>Renomée/Notable (une ville)</t>
  </si>
  <si>
    <t>Renomée/Notable (une région)</t>
  </si>
  <si>
    <t>Âme d8</t>
  </si>
  <si>
    <t>2 points d’Armure contre les dégâts produits par des pouvoirs d’Arcanes et bénéficie d’un bonus de +2 à ses jets pour résister aux effets de ces pouvoirs (y compris bénéfiques).</t>
  </si>
  <si>
    <t>Tu es particulièrement résistant à la magie qu'elle soit bénéfique ou maléfique</t>
  </si>
  <si>
    <t>Résistance aux arcanes</t>
  </si>
  <si>
    <t>Résistance aux arcanes (Grande)</t>
  </si>
  <si>
    <t>Tu es résistant à la magie qu'elle soit bénéfique ou maléfique</t>
  </si>
  <si>
    <t>4 points d’Armure contre les dégâts produits par des pouvoirs d’Arcanes et bénéficie d’un bonus de +4 à ses jets pour résister aux effets de ces pouvoirs (y compris bénéfiques).</t>
  </si>
  <si>
    <t>Un héros Riche débute avec 750$ et reçoit l’équivalent d’un salaire annuel moderne de 150 000 $.</t>
  </si>
  <si>
    <t>Un héros Riche débute avec 1250$ et reçoit l’équivalent d’un salaire annuel moderne de 500 000 $.</t>
  </si>
  <si>
    <t>Riche</t>
  </si>
  <si>
    <t>Petit Riche</t>
  </si>
  <si>
    <t>Très riche</t>
  </si>
  <si>
    <t>Extrêmement riche</t>
  </si>
  <si>
    <t>Un héros Riche débute avec 500$ et reçoit l’équivalent d’un salaire annuel moderne de 50 000 $.</t>
  </si>
  <si>
    <t>Reçoit l’équivalent d’un salaire annuel moderne de 1 500 000 $.</t>
  </si>
  <si>
    <t>Reçoit l’équivalent d’un salaire annuel moderne de 4 500 000 $.</t>
  </si>
  <si>
    <t>Belle Gueule/ Séduisant</t>
  </si>
  <si>
    <t>Vigueur d6</t>
  </si>
  <si>
    <t>+ 4 en Persuasion ou toute circonstance où l'apparence joue en sa faveur</t>
  </si>
  <si>
    <t>Ton héros a beaucoup de charme ou est très beau. Son Charisme est augmenté de 2.</t>
  </si>
  <si>
    <t>Le héros se déplace très rapidement. Son Allure est augmentée de 2 et il utilise un d10 au lieu du d6 lorsqu’il court.</t>
  </si>
  <si>
    <t>Agilité d6</t>
  </si>
  <si>
    <t>Agilité d6, Rapide</t>
  </si>
  <si>
    <t>Le héros se déplace rapidement. Son Allure est augmentée de 1 et il utilise un d8 au lieu du d6 lorsqu’il court.</t>
  </si>
  <si>
    <t>Agilité d6, Très Rapide</t>
  </si>
  <si>
    <t>Agilité d8, Vraiment Très Rapide</t>
  </si>
  <si>
    <t>Le héros se déplace vraiment très rapidement. Son Allure est augmentée de 3 et il utilise un d10 au lieu du d6 lorsqu’il court.</t>
  </si>
  <si>
    <t>Le héros se déplace extrêmement rapidement. Son Allure est augmentée de 4 et il utilise un d10 au lieu du d8 lorsqu’il court.</t>
  </si>
  <si>
    <t>Le héros se déplace plus vite que l'éclair. Son Allure est augmentée de 5 et il utilise un d12 au lieu du d10 lorsqu’il court.</t>
  </si>
  <si>
    <t>Joker, Tripes d6, Connaissance (occultisme) d6</t>
  </si>
  <si>
    <t>Entre en jeu au rang Aguerri (ou un rang au-dessus du reste des cow-boys de votre campagne). Doit tirer une carte sur la table de Vétéran de l'Ouest Etrange.</t>
  </si>
  <si>
    <t>Si tu pioches un 5 ou une carte inférieure en combat, tu peux la défausser et en piocher une autre jusqu’à ce que tu obtiennes une carte supérieure à 5</t>
  </si>
  <si>
    <t>Base 65</t>
  </si>
  <si>
    <t>Arme Fétiche</t>
  </si>
  <si>
    <t>Arme Fétiche Adorée</t>
  </si>
  <si>
    <t>Combat ou Tir d10</t>
  </si>
  <si>
    <t>Avec cette arme il gagne +1 à ses jets de Tir ou de Combat</t>
  </si>
  <si>
    <t>Avec cette arme il gagne +2 à ses jets de Tir ou de Combat</t>
  </si>
  <si>
    <t>Arts Martiaux (Maître)</t>
  </si>
  <si>
    <t>Combat d6</t>
  </si>
  <si>
    <t>Arts Martiaux, Combat d10</t>
  </si>
  <si>
    <t>Jamais désarmé. Les adversaires au CàC ne bénéficient jamais du bonus d’attaque à plusieurs. Lors d’une attaque réussie à mains nues, fait des dégâts de For + d4, comme avec une arme légère.</t>
  </si>
  <si>
    <t>Jamais désarmé. Les adversaires au CàC ne bénéficient jamais du bonus d’attaque à plusieurs. Lors d’une attaque réussie à mains nues, fait des dégâts de For + d6, comme avec une arme légère.</t>
  </si>
  <si>
    <t>Inflige  au  CàC des  dommages létaux,  les dégâts à mains nues font 1d8+ Force dégâts.</t>
  </si>
  <si>
    <t>Bagarreur</t>
  </si>
  <si>
    <t>Force d8</t>
  </si>
  <si>
    <t>Avec une attaque à mains nues, il ajoute +2 aux dégâts occasionnés.</t>
  </si>
  <si>
    <t>Lorsqu’un cogneur obtient une Relance lors d’une attaque à mains nues, il rajoute un d8 au lieu d’un d6 aux dégâts.</t>
  </si>
  <si>
    <t>Balayage</t>
  </si>
  <si>
    <t>Balayage (Grand)</t>
  </si>
  <si>
    <t>Force d8, Combat d8</t>
  </si>
  <si>
    <t>Permet d’attaquer toutes les cibles adjacentes en un seul jet de Combat avec un malus de -2. Un jet de dégâts est fait pour chaque cible touchée. Les alliés du héros sont affectés par cette attaque.</t>
  </si>
  <si>
    <t>Permet d’attaquer toutes les cibles adjacentes en un seul jet de Combat. Un jet de dégâts est fait pour chaque cible touchée. Les alliés du héros sont affectés par cette attaque.</t>
  </si>
  <si>
    <t>Base 66</t>
  </si>
  <si>
    <t>Avec une attaque à mains nues, peut augmenter ou diminuer de 4 tout jet de localisation des dégâts.</t>
  </si>
  <si>
    <t>Combat d8</t>
  </si>
  <si>
    <t>Base 67</t>
  </si>
  <si>
    <t>Ajoute 1 à sa Parade.</t>
  </si>
  <si>
    <t>Cran/ Blocage</t>
  </si>
  <si>
    <t>Cran/ Blocage (grand)</t>
  </si>
  <si>
    <t>Cran/ Blocage (très grand)</t>
  </si>
  <si>
    <t>Cran/ Blocage (extrême)</t>
  </si>
  <si>
    <t>Quand il attaque avec une arme dans chaque main il fait un jet pour chaque attaque avec un malus de -1 (au lieu de -2) à la pénalité d’Action multiples</t>
  </si>
  <si>
    <t>Le malus de -2 infligé lorsqu’on utilise une arme dans chaque main tombe à -1</t>
  </si>
  <si>
    <t>Diminue de -2 le SD des tests de Vigueur pour récupérer d'un étourdissement</t>
  </si>
  <si>
    <t>Ajoute +2 à ses jets d’Âme pour se remettre de l’état Secoué.</t>
  </si>
  <si>
    <t>Permet d'invoquer un esprit vaudou mineur</t>
  </si>
  <si>
    <t>Permet d'invoquer un esprit vaudou majeur</t>
  </si>
  <si>
    <t>Permet d'invoquer un esprit vaudou supérieur</t>
  </si>
  <si>
    <t>Permet d'invoquer un esprit vaudou ultime</t>
  </si>
  <si>
    <t>Contre-Attaque</t>
  </si>
  <si>
    <t>Contre-Attaque (grande)</t>
  </si>
  <si>
    <t>Dégaine comme l'éclair</t>
  </si>
  <si>
    <t>Permet au héros de dégainer une arme et d’attaquer dans le même round sans subir le malus usuel de -2. S’il doit faire un jet d’Agilité pour dégainer une arme (voir le Chapitre Combat) il ajoute +2 à son jet.</t>
  </si>
  <si>
    <t>Ajoute +2 à la compétence Dégainer</t>
  </si>
  <si>
    <t>Esquive</t>
  </si>
  <si>
    <t>Esquive (Grande)</t>
  </si>
  <si>
    <t>Ses ennemis ont un malus de -1 à leurs jets de Tir et de Lancer sauf dans les cas d’une attaque surprise. Quand il tente d’échapper aux effets d’une Attaque de Zone il ajoute +1 à son jet d’Agilité</t>
  </si>
  <si>
    <t>Ses ennemis ont un malus de -2 à leurs jets de Tir et de Lancer sauf dans les cas d’une attaque surprise. Quand il tente d’échapper aux effets d’une Attaque de Zone il ajoute +2 à son jet d’Agilité</t>
  </si>
  <si>
    <t>Extraction</t>
  </si>
  <si>
    <t>Extraction (Grande)</t>
  </si>
  <si>
    <t>En réussissant un jet d’Agilité lorsqu'il romp le combat, un adversaire de votre choix ne disposera pas d’attaque gratuite</t>
  </si>
  <si>
    <t>Ajoute +X aux dommages au corps à corps du personnage, X étant la valeur de sa plus haute pénalité de blessure.</t>
  </si>
  <si>
    <t>Florentine</t>
  </si>
  <si>
    <t>Agilité d8, Combat d8</t>
  </si>
  <si>
    <t>Si utilisation de deux armes à la fois: +1 à ses jets de Combat contre un adversaire muni d’une arme et sans bouclier. Les bonus d’Attaque à plusieurs de ses ennemis sont diminués de 1.</t>
  </si>
  <si>
    <t xml:space="preserve">Si utilisation de deux armes à la fois: +1 à ses jets de Combat contre un adversaire muni d’une arme et sans bouclier. </t>
  </si>
  <si>
    <t>Frappe Eclair</t>
  </si>
  <si>
    <t>Frappe Foudroyante</t>
  </si>
  <si>
    <t>1X/combat peut annuler le tirage d'un Joker d'un ennemi et le forcer à repiocher</t>
  </si>
  <si>
    <t>1X/combat peut annuler une de ses cartes pour faire comme s'il avait pioché un Joker à la place.</t>
  </si>
  <si>
    <t>Nerfs d'acier trempé</t>
  </si>
  <si>
    <t>Quand jet de tripes raté et contraint de fuir, peut continuer à rester pour se battre sans les pénalités</t>
  </si>
  <si>
    <t>Ignore 2 point de malus dus aux Blessures.</t>
  </si>
  <si>
    <t>Ignore 1 point de malus dus aux Blessures.</t>
  </si>
  <si>
    <t>Base 68</t>
  </si>
  <si>
    <t>Frénésie</t>
  </si>
  <si>
    <t>Frénésie Suprême</t>
  </si>
  <si>
    <t>Combat d10</t>
  </si>
  <si>
    <t>Une attaque de Combat supplémentaire par round avec un malus de -2 à tous ses jets d’attaques. Cette attaque doit être appliquée en même temps qu’une autre attaque de Combat mais peut cibler deux ennemis différents adjacents au héros (les Joker lancent deux dés de Combat et un dé Joker). Un personnage muni de deux armes ne fait toutefois qu’une attaque en plus.</t>
  </si>
  <si>
    <t>Improvisation Martiale</t>
  </si>
  <si>
    <t xml:space="preserve">La Force est augmentée de 1 pour les dégâts au CàC et les armes improvisées font des dégâts létaux. </t>
  </si>
  <si>
    <t>Pas le malus de -1 normalement appliqué aux jets de Combat et à la Parade lorsqu’il se sert d'une arme improvisée dans un combat au CàC.</t>
  </si>
  <si>
    <t>Dépense un Jeton pour être capable de voir les créatures invisibles ou celles qui se confondent de manière surnaturelle avec leur environnement.</t>
  </si>
  <si>
    <t>Base 71</t>
  </si>
  <si>
    <t>Don: Enfant du chat/ Increvable</t>
  </si>
  <si>
    <t>Joker, Âme d8</t>
  </si>
  <si>
    <t>Trompe-la-mort</t>
  </si>
  <si>
    <t>Si jamais il est tué, lance un dé. Sur un résultat impair il est vraiment mort. Par contre, un résultat pair signifie que d’une façon ou d’une autre il échappe à la mort et n’est que dans un État critique.</t>
  </si>
  <si>
    <t>Dans un cas d’égalité sur un jet opposé, il gagne. En outre, s’il fait un 1 sur son dé lors d’un jet Opposé, il peut relancer le dé (mais doit garder le second résultat, même s’il s’agit d’un nouveau 1).</t>
  </si>
  <si>
    <t>Panache</t>
  </si>
  <si>
    <t>Quand il dépense un Jeton sur un jet de Trait (y compris un jet d’Encaissement), il ajoute +2 au résultat final.</t>
  </si>
  <si>
    <t>Quand il dépense une pépite sur un jet de Trait (y compris un jet d’Encaissement), il ajoute +2 au résultat final.</t>
  </si>
  <si>
    <t>Poigne Ferme</t>
  </si>
  <si>
    <t>Ignore le malus de -2 de Plate-forme instable pour tirer depuis un véhicule ou sur une monture en mouvement.</t>
  </si>
  <si>
    <t>Le personnage ignore le malus de -4 à toutes tes actions quand il est en mouvement.</t>
  </si>
  <si>
    <t>Rechargement Rapide</t>
  </si>
  <si>
    <t>Agilité d8, tir d6</t>
  </si>
  <si>
    <t>+2 en Recharge Rapide</t>
  </si>
  <si>
    <t>Rock'n'roll!</t>
  </si>
  <si>
    <t>Tir d8</t>
  </si>
  <si>
    <t>Si un héros muni de cet Atout ne se déplace pas, il ignore le malus de -2 du à l’effet de recul de ce type d’armes.</t>
  </si>
  <si>
    <t>Base 69</t>
  </si>
  <si>
    <t>Sans Pitié</t>
  </si>
  <si>
    <t>Le personnage peut utiliser un Jeton pour relancer un jet de dégâts, y compris pour une attaque de zone.</t>
  </si>
  <si>
    <t>Le personnage peut utiliser une Pépite pour relancer un jet de dégâts, y compris pour une attaque de zone.</t>
  </si>
  <si>
    <t>Permet au héros de piocher une carte en plus pour l’Initiative. Il fait son action sur la meilleure des cartes.</t>
  </si>
  <si>
    <t>Intellect d8</t>
  </si>
  <si>
    <t>Sang Froid</t>
  </si>
  <si>
    <t>Tête Froide</t>
  </si>
  <si>
    <t>Au  début  d’un round, peut jeter ses deux plus mauvaises cartes et en tirer deux autres, sauf s’il a tiré le Joker Noir.</t>
  </si>
  <si>
    <t>Permet au héros de piocher deux cartes en plus pour l’Initiative. Il fait son action sur la meilleure des cartes.</t>
  </si>
  <si>
    <t>Tant que le personnage ne se déplace pas, il obtient un bonus de +2 au Tir au round suivant. Cumulable avec Tireur d'Elite.</t>
  </si>
  <si>
    <t>Ton héros ajoute 1d6 à ses dégâts lorsqu’il attaque des créatures de trois tailles ou plus supérieures à la sienne.</t>
  </si>
  <si>
    <t>Intellect 1d6</t>
  </si>
  <si>
    <t>Vos Alliés dans un rayon de 5 cases ajoutent +1 à leurs jets d’Âme pour se remettre d’un état Secoué.</t>
  </si>
  <si>
    <t>Vos Alliés dans un rayon de 5 cases ajoutent +1 à leurs jets de Vigueur pour se remettre d’un état Etourdi.</t>
  </si>
  <si>
    <t>Ferveur</t>
  </si>
  <si>
    <t>Âme d8, Commandement</t>
  </si>
  <si>
    <t>Tes Alliés ajoutent dans un rayon de 5 cases +1 aux dégâts de leurs jets de Combat.</t>
  </si>
  <si>
    <t>Grande Aura de Commandement</t>
  </si>
  <si>
    <t>Son aura de commandement est efficace jusqu’à 10 cases au lieu de 5.</t>
  </si>
  <si>
    <t>Vos Alliés dans un rayon de 5 cases ajoutent +3 au total à leurs jets de Vigueur pour se remettre d’un état Etourdi.</t>
  </si>
  <si>
    <t>Vos Alliés dans un rayon de 5 cases ajoutent +3 au total à leurs jets d’Âme pour se remettre d’un état Secoué.</t>
  </si>
  <si>
    <t>Leader Naturel</t>
  </si>
  <si>
    <t>Permet d’utiliser ses Jetons pour n’importe quel Allié sous ses ordres.</t>
  </si>
  <si>
    <t>Base 70</t>
  </si>
  <si>
    <t>Les Alliés sous son commandement utilisent un d10 comme dé Joker au lieu de d6 lorsqu’ils font des jets de groupe.</t>
  </si>
  <si>
    <t>Serrer les Rangs!</t>
  </si>
  <si>
    <t>Intellect d8, Commandement</t>
  </si>
  <si>
    <t>Cet Atout renforce la détermination des Alliés dans un rayon de 5 cases qui ajoutent 1 à leur Protection.</t>
  </si>
  <si>
    <t>Cet Atout renforce la détermination des Alliés dans un rayon de 5 cases qui ajoutent 1 à leur Résistance.</t>
  </si>
  <si>
    <t>Commandement, Joker, Intellect d8, Connaissance (Bataille) d6</t>
  </si>
  <si>
    <t>Bataille</t>
  </si>
  <si>
    <t>Avant les jets d'Initiative, jet d'Universalis (Bataille). Pour chaque Succès, reçoit une carte d’action conservées séparément. Au début d’un round, peut donner une ou plusieurs cartes à ses alliés. Un seul personnage par camp.</t>
  </si>
  <si>
    <t>1X/round, si un ennemi se plante lors d'une atk au CàC contre lui, peut faire une atk gratuite. L’attaque subit un malus de -2, et doit être une attaque normale et ne peut être combinée avec d’autres Atouts.</t>
  </si>
  <si>
    <t>1X/round, si un ennemi se plante lors d'une atk au CàC contre lui, le personnage peut faire une atk gratuite. L’attaque doit être une attaque normale et ne peut être combinée avec d’autres Atouts.</t>
  </si>
  <si>
    <t>Si blessé ou Etourdi, Test d’Ame ou devient Enragé: +2 en Protection, tous jets Combat, Force et dégâts au CàC. Ignore aussi tous les malus de blessures mais ne peut se servir d'aucune Compétence ni Atout.</t>
  </si>
  <si>
    <t>Une attaque de Combat supplémentaire par round appliquée en même temps qu’une autre attaque de Combat. Peut cibler deux ennemis différents adjacents. Avec 2 armes ne fait qu’une attaque en plus.</t>
  </si>
  <si>
    <t>Une attaque supplémentaire par round appliquée en même temps qu’une autre attaque de Combat avec un malus de -2 à TOUS ses jets d’attaques. Peut cibler deux ennemis différents adjacents. Si 2 armes 1 seule atk en +.</t>
  </si>
  <si>
    <t>Chouchou de la Chance</t>
  </si>
  <si>
    <t>Une fois par session, il peut dépenser une Pépite de n’importe quelle couleur comme si c’était une Pépite bleue.</t>
  </si>
  <si>
    <t>Le round après avoir consommé au moins 25ml d’alcool fort, la Vigueur passe au dé supérieur (et la Résistance gagne 1 point). Ignore le malus d’un niveau de Blessure (cumulable avec d’autres capacités ou Atouts similaires).</t>
  </si>
  <si>
    <t>Peut dépenser un Jeton pour faire usage du pouvoir Guérison supérieure. Il n’a pas besoin de lancer les dés, il obtient automatiquement un seul succès (et donc guérit une blessure).</t>
  </si>
  <si>
    <t>Indien, Joker</t>
  </si>
  <si>
    <t>+2 à tous ses jets de Soins qu’ils soient magiques ou non. En outre, jusqu’à cinq compagnons de voyage du guérisseur bénéficient aussi de ce même bonus pour leurs propres jets de guérison naturelle.</t>
  </si>
  <si>
    <t>+2 à tous ses jets de soins qu’ils soient magiques ou non. En outre, jusqu’à cinq compagnons de voyage du guérisseur bénéficient aussi de ce même bonus pour leurs propres jets de guérison naturelle.</t>
  </si>
  <si>
    <t>Lien animal</t>
  </si>
  <si>
    <t>Peut dépenser ses Jetons pour tout animal qu’il contrôle y compris les chiens, familiers, montures, etc.</t>
  </si>
  <si>
    <t>Lorsqu'il dépense une de ses Pépites pour tout animal qu’il contrôle (y compris les chiens, familiers, montures, etc.), ne doit pas jeter de Pépite en plus.</t>
  </si>
  <si>
    <t>Maître des bêtes</t>
  </si>
  <si>
    <t>Le personnage qui a au moins une blessure Critique peut décider de mettre fin à son combat et se rendre. Le Marshal décide seul d'une issue non fatale à ce combat à moins que l'ennemi n'aie d'autre choix.</t>
  </si>
  <si>
    <t>Le personnage qui a au moins une blessure Sérieuse peut décider de mettre fin à son combat et se rendre. Le Marshal décide seul d'une issue non fatale à ce combat à moins que l'ennemi n'aie d'autre choix.</t>
  </si>
  <si>
    <t>+2 à tous les jets de dressage et les animaux qui montent la garde ne le repèrent jamais.</t>
  </si>
  <si>
    <t>Afflux de Pouvoir</t>
  </si>
  <si>
    <t>Lorsque ton personnage pioche un Joker lors de la phase d’Initiative, il récupère aussitôt 2d6 Points de Pouvoir (sans toutefois pouvoir dépasser sa limite habituelle).</t>
  </si>
  <si>
    <t>Lorsque ton personnage pioche un Joker lors de la phase d’Initiative, il pioche une carte en plus.</t>
  </si>
  <si>
    <t>Base 72</t>
  </si>
  <si>
    <t>Dans le Mille!</t>
  </si>
  <si>
    <t>Joker, Tir ou Lancer d10</t>
  </si>
  <si>
    <t>Joker, Compétence d’Arcane d10</t>
  </si>
  <si>
    <t>Lorsque ton personnage pioche un Joker lors de la phase d’Initiative, double le total de ses dégâts s’il réussit une attaque de Tir ou de Lancer dans ce round.</t>
  </si>
  <si>
    <t>Le héros double le total de ses dégâts s’il réussit une attaque de Tir ou de Lancer dans ce round.</t>
  </si>
  <si>
    <t>Coup Puissant</t>
  </si>
  <si>
    <t>Joker, Combat d10</t>
  </si>
  <si>
    <t>Lorsque ton personnage pioche un Joker lors de la phase d’Initiative, double le total de ses dégâts s’il réussit une attaque de Combat de mélée au CàC dans ce round.</t>
  </si>
  <si>
    <t>Le héros double le total de ses dégâts s’il réussit une attaque de Combat dans ce round.</t>
  </si>
  <si>
    <t>A  un  fidèle  compagnon  qui  le  suit  partout. Si l’Acolyte meurt, il n’est pas remplacé sauf si l’Atout est de nouveau pris.</t>
  </si>
  <si>
    <t>Le Cheval Blanc</t>
  </si>
  <si>
    <t>Ton fidèle compagnon est maintenant tout sauf "Normal". Il a sa propre réserve de Pépites uniquement pour lui et l'Atout "Peur de Rien". Si cette monture meurt, tu dois choisir à nouveau cet Atout ou en perdre le bénéfice.</t>
  </si>
  <si>
    <t>Réputation</t>
  </si>
  <si>
    <t>Si ton héros meurt, c’est en qualité de Déterré qu’il refait son apparition.</t>
  </si>
  <si>
    <t>Endurci</t>
  </si>
  <si>
    <t>Ton héros est un vétéran confirmé. Augmente de +1 sa Résistance.</t>
  </si>
  <si>
    <t>Ton héros est un vétéran confirmé. Augmente de +1 sa Protection.</t>
  </si>
  <si>
    <t>Coriace</t>
  </si>
  <si>
    <t>Ton héros est un vétéran confirmé. Augmente encore de +1 sa Protection.</t>
  </si>
  <si>
    <t>Ton héros est un vétéran confirmé. Augmente encore de +1 sa Résistance.</t>
  </si>
  <si>
    <t>Main droite du Diable</t>
  </si>
  <si>
    <t>Quelle que soit l’arme qu’il utilise de sa main directrice, un peu du statut mystique qu’on confère à son propriétaire lui a été insufflé et l’a transformée en une puissante relique.</t>
  </si>
  <si>
    <t>Maître d'armes</t>
  </si>
  <si>
    <t>Maître d'armes légendaire</t>
  </si>
  <si>
    <t>Combat d12</t>
  </si>
  <si>
    <t>Augmente de +1 la Parade de ton héros.</t>
  </si>
  <si>
    <t>Augmente encore de +1 la Parade de ton héros.</t>
  </si>
  <si>
    <t>Peut utilise tous les types d'armes au combat sans en avoir les aptitudes correspondantes avec un malus réduit à -1.</t>
  </si>
  <si>
    <t>Peut utilise tous les types d'armes au combat sans en avoir les aptitudes correspondantes sans malus.</t>
  </si>
  <si>
    <t>d12 dans le Trait Choisi</t>
  </si>
  <si>
    <t>Professionel</t>
  </si>
  <si>
    <t>Ce trait passe à d12+2. Cet Atout peut-être pris plusieursfois mais ne peut s’appliquer deux fois au même Trait.</t>
  </si>
  <si>
    <t>Maitre</t>
  </si>
  <si>
    <t>Le dé Joker du héros devient un d10 quand il fait un jet sous le Trait choisi. L’Atout peut-être choisi plusieurs fois mais ne peut s’appliquer deux fois au même Trait.</t>
  </si>
  <si>
    <t>Chaque fois que le héros doit réaliser un test qui dépend de ce Trait, il réalise toujours le score maximal possible sans à avoir à faire le moindre test.</t>
  </si>
  <si>
    <t>Rapide comme l’éclair</t>
  </si>
  <si>
    <t>Esprit vif/Vif, Agilité d10</t>
  </si>
  <si>
    <t>À chaque fois qu’il obtient moins qu’un 10 à son initiative, considère que sa carte est un 10 de la même couleur.</t>
  </si>
  <si>
    <t>Base 73</t>
  </si>
  <si>
    <t>Suivants</t>
  </si>
  <si>
    <t>Chaque fois que cet Atout est choisi, 5 Suivants rejoignent ton héros. Peut être pris plusieurs fois (pour remplacer les pertes). Les Suivants doivent se nourrir, gagner leur vie et prennent leur part des trésors et de butin.</t>
  </si>
  <si>
    <t>Ton héros connaît quelqu’un qui en fait partie et est disposé à l’aider à l’occasion (une fois par session de jeu).</t>
  </si>
  <si>
    <t>Base 80</t>
  </si>
  <si>
    <t>Peut ajouter son Charisme à ses jets d’Intimidation. Un score négatif est considéré comme positif dans ce cas (et le personnage a une mauvaise réputation).</t>
  </si>
  <si>
    <t xml:space="preserve">Peut ajouter son jet de Charisme à ses jets d’Intimidation. </t>
  </si>
  <si>
    <t>Charismatique</t>
  </si>
  <si>
    <t>Son Charisme est augmenté de 2.</t>
  </si>
  <si>
    <t>Donne un bonus de +2 en Charisme</t>
  </si>
  <si>
    <t>Jeu d6</t>
  </si>
  <si>
    <t>Ne se fera prendre en train de tricher que s’il se plante. Si ton héros est un Huckster, les autres ont un malus de -2 en Perception pour déterminer si quelqu’un est en train de lancer un sortilège.</t>
  </si>
  <si>
    <t>Lien mutuel</t>
  </si>
  <si>
    <t>Un héros doté de cet Atout peut donner ses Jetons à tout autre Joker avec lequel il peut communiquer.</t>
  </si>
  <si>
    <t>Un héros doté de cet Atout peut donner ses Pépites à tout autre Joker avec lequel il peut communiquer.</t>
  </si>
  <si>
    <t>Volonté de Fer</t>
  </si>
  <si>
    <t>Intimidation d6, Sarcasmes d6</t>
  </si>
  <si>
    <t>+2 à ses jets d’Intimidation et de Sarcasme et à ses jets d’Âme et d’Intellect quand il résiste à une Épreuve de volonté.</t>
  </si>
  <si>
    <t>+2 à ses jets d’Intimidation et de Sarcasme et à ses jets d’Âme quand il résiste à une Épreuve de volonté.</t>
  </si>
  <si>
    <t>Base 81</t>
  </si>
  <si>
    <t>Son sang-froid lui donne un bonus de +1 en Trempe.</t>
  </si>
  <si>
    <t>Intellect d8, Vigueur d6, Perception d8, Survie d6, Pistage d6</t>
  </si>
  <si>
    <t>+2  à tous les jets en forêt, +2 à la Vigueur quand il s’agit de résister à la fatigue provoquée par la Chaleur ou le Froid +2 à tous les jets de dressage et les animaux qui montent la garde ne le repèrent jamais.</t>
  </si>
  <si>
    <t>Base 78</t>
  </si>
  <si>
    <t>Obligation : armée, Combat d6, Tir d6</t>
  </si>
  <si>
    <t>Obligation : armée, Intellect d6, Connaissance (stratégie) d6</t>
  </si>
  <si>
    <t>Reçoit un uniforme, un fusil Winchester ‘73 et 20 cartouches, une gamelle, un sac de couchage, et un cheval s’il est dans cavalerie.</t>
  </si>
  <si>
    <t>Reçoit un uniforme, un uniforme, un sabre, un pistolet de l’Armée et 20 cartouches, ainsi qu’un cheval s’il est dans la cavalerie. Bonus de +2 à son Charisme lorsqu’il a à faire à ceux qui respectent son autorité.</t>
  </si>
  <si>
    <t>Reçoit un uniforme, un uniforme, un sabre, un pistolet de l’Armée et 20 cartouches, ainsi qu’un cheval s’il est dans la cavalerie. Bonus de +4 à son Charisme lorsqu’il a à faire à ceux qui respectent son autorité.</t>
  </si>
  <si>
    <t>Obligation ou Serment envers la Loi, Intellect d8, Combat d6, Connaissance (Loi) d4, Recherche d6, Tir d6</t>
  </si>
  <si>
    <t>Obligation ou Serment envers la Loi, Intellect d6, Combat d6, Connaissance (Loi) d4, Recherche d4, Tir d6</t>
  </si>
  <si>
    <t>Obligation ou Serment envers la Loi, Intellect d8, Combat d6, Connaissance (Loi) d4, Connaissance (Occultisme) d6, Recherche d6, Tir d6, Vigueur d8, Équitation d6, Réseaux d6, Survie d6, Pistage d6</t>
  </si>
  <si>
    <t>Base 75 et 78</t>
  </si>
  <si>
    <t>Voir Deadlands Reloaded - Livre de Base p 75 et 78.</t>
  </si>
  <si>
    <t>Base 75 et 76</t>
  </si>
  <si>
    <t>Base 75 et 77</t>
  </si>
  <si>
    <t>Acrobaties</t>
  </si>
  <si>
    <t>Acrobate</t>
  </si>
  <si>
    <t>Agilité d8, Force d6</t>
  </si>
  <si>
    <t>+2 à tous leurs jets d’Agilité pour accomplir une manoeuvre acrobatique (Ruses incluses) et ajoute 1 à leur Parade quand ils ne subissent pas de malus d’Encombrement.</t>
  </si>
  <si>
    <t>+4 à tous leurs jets d’Agilité (Acrobaties).</t>
  </si>
  <si>
    <t>Base 75</t>
  </si>
  <si>
    <t>Le personnage tient une place élevée dans la hiérarchie de son ordre. Bonus de +1 à son Charisme lorsqu’il a à faire à ceux qui respectent son autorité.</t>
  </si>
  <si>
    <t>Le personnage tient une place très élevée dans la hiérarchie de son ordre. Bonus de +2 à son Charisme lorsqu’il a à faire à ceux qui respectent son autorité.</t>
  </si>
  <si>
    <t>Le personnage tient une place élevée dans la hiérarchie de son ordre. Bonus de +4 à son Charisme lorsqu’il a à faire à ceux qui respectent son autorité.</t>
  </si>
  <si>
    <t>Adepte</t>
  </si>
  <si>
    <t>Base 76</t>
  </si>
  <si>
    <t>Peut acheter et utiliser des pouvoirs ki en utilisant l’aptitude chi</t>
  </si>
  <si>
    <t>Inflige  au  CàC des dommages létaux,  utiliser un pouvoir de Chi coûte 2 points de Chi en moins (minimum 1).</t>
  </si>
  <si>
    <t>Un As ajoute +2 à tous ses jets de Conduire et Carrière (Transports)</t>
  </si>
  <si>
    <t>Assassin</t>
  </si>
  <si>
    <t>Agilité d8, Combat d6, Discrétion d8, Escalade d6</t>
  </si>
  <si>
    <t>+2 à leurs dégâts lorsqu’ils frappent une cible ne les ayant pas vu venir (même avec une attaque à distance).</t>
  </si>
  <si>
    <t>Peut augmenter ou diminuer de 4 jet de localisation des dégâts lorsqu’ils frappent une cible ne les ayant pas vu venir (même avec une attaque à distance).</t>
  </si>
  <si>
    <t>Arcanes (Science étrange), Intellect d10, Réparation d8, Science étrange d8, deux Connaissances scientifiques a d6</t>
  </si>
  <si>
    <t>Diminue d'un tiers (arrondi au supérieur) le temps nécéssaire à la conception d'une invention de Science Folle.</t>
  </si>
  <si>
    <t>Peut ajouter au diminuer de 4 le jet de localisation des dégâts lorsqu’il attaque des créatures du mal (ou du bien). Protection est augmentée de 2 contre les dégâts causés par une source maléfique (ou bienfaisante pour un Champion impie).</t>
  </si>
  <si>
    <t>Charlatan</t>
  </si>
  <si>
    <t>Intellect d6, Âme d6, Persuasion d8</t>
  </si>
  <si>
    <t>+2 à ses jets de Persuasion en-dehors des situations de combat. Il peut aussi faire usage de sa langue de serpent pour lancer une Épreuve de volonté de Persuasion, contre l’Intellect de la cible.</t>
  </si>
  <si>
    <t>+2 à ses jets de Persuasion en-dehors des situations de combat. Il peut aussi faire usage de sa langue de serpent pour lancer une Épreuve de volonté d'Astuce, contre la Perception de la cible.</t>
  </si>
  <si>
    <t>Persuasion d8</t>
  </si>
  <si>
    <t>Base 77</t>
  </si>
  <si>
    <t>Intellect d6, Réparation d6, Perception d8</t>
  </si>
  <si>
    <t>Ne peut subir aucun malus sur ses jets de Traits dus au manque d’outils dans la plupart des situations.</t>
  </si>
  <si>
    <t>d8 dans les Connaissances choisies</t>
  </si>
  <si>
    <t>Choisis deux Compétences de Connaissances à d8 ou plus. Chaque fois que tu les utilises, ajoute +2 à tes jets de dé.</t>
  </si>
  <si>
    <t>Ame d6, Survie d8, Pistage d8</t>
  </si>
  <si>
    <t>Il ajoute +2 à ses jets de Pister, Survie et Discrétion. Le bonus pour la Discrétion ne s’applique qu’en milieu sauvage.</t>
  </si>
  <si>
    <t>Ajoute +2 aux  jets  de Tripes face à quelque chose qui n’est pas surnaturel. Cumulatif avec Peur de rien/ Brave</t>
  </si>
  <si>
    <t>Ajoute +1 aux  jets  de Tripes face à quelque chose qui n’est pas surnaturel. Cumulatif avec Peur de rien/ Brave</t>
  </si>
  <si>
    <t>Ajoute +3 aux  jets  de Tripes face à quelque chose qui n’est pas surnaturel. Cumulatif avec Peur de rien/ Brave</t>
  </si>
  <si>
    <t>Ajoute +4 aux  jets  de Tripes face à quelque chose qui n’est pas surnaturel. Cumulatif avec Peur de rien/ Brave</t>
  </si>
  <si>
    <t>Ajoute +5 aux  jets  de Tripes face à quelque chose qui n’est pas surnaturel. Cumulatif avec Peur de rien/ Brave</t>
  </si>
  <si>
    <t>Avec une attaque à mains nues, peut augmenter ou diminuer de 2 tout jet de localisation des dégâts/ Brave</t>
  </si>
  <si>
    <t>Reçoit un uniforme, un uniforme, un sabre, un pistolet de l’Armée et 20 cartouches, ainsi qu’un cheval s’il est dans la cavalerie. Bonus de +3 à son Charisme lorsqu’il a à faire à ceux qui respectent son autorité.</t>
  </si>
  <si>
    <t>Réussir un jet d'Âme avec un Succès pour repousser le mal/le bien. Portée =  dé d'Âme du personnage. Les créatures dans ce rayon font un jet d’Âme. Echec = Etourdies. Plantage = Blessure (ou destruction si faibles)</t>
  </si>
  <si>
    <t>Intellect d8, Recherche d8, Réseaux d8</t>
  </si>
  <si>
    <t>+2 à tous ses jets de Réseaux, de Recherche et aux les jets de Perception lorsqu’il cherche des indices.</t>
  </si>
  <si>
    <t>+2 en Connaissances (Universalis) et en Détecter</t>
  </si>
  <si>
    <t>Mage</t>
  </si>
  <si>
    <t>Chaque Relance obtenue sur son jet de Magie réduit le coût du sort de 1 Point de Pouvoir. Il doit disposer des points nécessaires à lancer le sort avant de faire le jet.</t>
  </si>
  <si>
    <t>Lorsque le personnage utilise une Pépite pour aider un allié, il peut en dépenser une de rang plus faible que celle qu'il devrait donner normalement en plus.</t>
  </si>
  <si>
    <t>Nouveau Pouvoir</t>
  </si>
  <si>
    <t>Base 74</t>
  </si>
  <si>
    <t>Points de Pouvoir</t>
  </si>
  <si>
    <t>Source de Pouvoir</t>
  </si>
  <si>
    <t>Cet Atout donne 5 Points de Pouvoir supplémentaires. Peut être pris plusieurs fois mais seulement une fois par Rang.</t>
  </si>
  <si>
    <t>Ton héros récupère 1 Point de Pouvoir toutes les 30 minutes.</t>
  </si>
  <si>
    <t>Ton héros récupère 1 Point de Pouvoir toutes les 15 minutes.</t>
  </si>
  <si>
    <t>Source de Pouvoir (Grande)</t>
  </si>
  <si>
    <t>Source de Pouvoir (Très Grande)</t>
  </si>
  <si>
    <t>Tribale</t>
  </si>
  <si>
    <t>Arcane : Chamane ,Intellect d8, Âme d8, Médecine tribale d10</t>
  </si>
  <si>
    <t>Base 157</t>
  </si>
  <si>
    <t>Base 158</t>
  </si>
  <si>
    <t>Base 159</t>
  </si>
  <si>
    <t>Base 160</t>
  </si>
  <si>
    <t>Base 161</t>
  </si>
  <si>
    <t>Le Troupeau donne à ton padre cinq disciples qui servent à ses côtés comme tu le souhaites. Ils ont les caractéristiques d’un Citadin. Cet Atout ne peut être choisi qu’une fois. Lorsque l’élu atteint le Rang Légendaire, il peut le choisir autant de fois qu’il le souhaite</t>
  </si>
  <si>
    <t>Avec une Foi à d4 le rituel dure au moins 3h. Voir détails p.159</t>
  </si>
  <si>
    <t>Avec une Foi à d8 le rituel dure au moins 3h. Voir détails p.159</t>
  </si>
  <si>
    <t>Avec une Foi à d6 le rituel dure au moins 3h30. Voir détails p.159</t>
  </si>
  <si>
    <t>Avec une Foi à d10 le rituel dure au moins 2h30. Voir détails p.159</t>
  </si>
  <si>
    <t>Avec une Foi à d12 le rituel dure au moins 2h. Voir détails p.159</t>
  </si>
  <si>
    <t>Base 162</t>
  </si>
  <si>
    <t>Base 163</t>
  </si>
  <si>
    <t>Base 153</t>
  </si>
  <si>
    <t>Le choix du donneur</t>
  </si>
  <si>
    <t>Arcanes (Science folle), Intellect d8, Réparation d8, Science étrange d8, deux Connaissances scientifiques à d6</t>
  </si>
  <si>
    <t>Indien, Arcane: Chamane, Médecine tribale d8</t>
  </si>
  <si>
    <t>Arcanes: Occulte, Arcanes ou Connaissances (Arcanes) d6+</t>
  </si>
  <si>
    <t>Arcanes: Occulte, Intellect d8, Connaissance (Arcanes) d8, Magie d6</t>
  </si>
  <si>
    <t>À chaque fois qu’on te donne une carte, et ce quelle qu’en soit la raison, tu peux décider après l’avoir regardée de dépenser un Jeton pour la défausser et en tirer une autre.</t>
  </si>
  <si>
    <t>À chaque fois qu’on te donne une carte, et ce quelle qu’en soit la raison, tu peux décider après l’avoir regardée de dépenser une Pépite pour la défausser et en tirer une autre.</t>
  </si>
  <si>
    <t>Flambeur</t>
  </si>
  <si>
    <t>Arcanes: Occulte</t>
  </si>
  <si>
    <t>Quand tu pactises avec le diable, ton hombre tire une carte supplémentaire. Il ne peut toujours pas utiliser plus de cinq cartes pour faire sa main mais maintenant, il a plus de choix.</t>
  </si>
  <si>
    <t>Quand tu pactises avec le diable, ton hombre tire deux cartes supplémentaires au lieu d'une. Il ne peut toujours pas utiliser plus de cinq cartes pour faire sa main mais maintenant, il a plus de choix.</t>
  </si>
  <si>
    <t>Lorsque tu pactises avec le diable, les Jokers rouges sont des cartes non identifiées mais elles ne provoquent pas de contrecoup, ce qui n’est pas le cas des Jokers noirs (assuretoi de pouvoir faire la différence avant de tirer des cartes).</t>
  </si>
  <si>
    <t>Ce personnage peut utiliser ses pouvoirs pour faire des potions aussi bien que des machines. La fabrication d’une potion demande un nécessaire de chimie et 30 minutes de temps. Voir détail p.166</t>
  </si>
  <si>
    <t>Ce personnage peut utiliser ses pouvoirs pour faire des potions. La fabrication d’une potion demande un nécessaire de chimie et 30 minutes de temps. Max autant de potion que son dé en Sciences (Chimie)</t>
  </si>
  <si>
    <t>Base 166</t>
  </si>
  <si>
    <t>Eureka!</t>
  </si>
  <si>
    <t>Arcanes: Science folle, Science folle d12+</t>
  </si>
  <si>
    <t>Diminue de 2 crans les Mains nécéssaires sur la table de création des machines infernales (Base p.114)</t>
  </si>
  <si>
    <t>Base 114</t>
  </si>
  <si>
    <t>Styles de combat</t>
  </si>
  <si>
    <t>Le Singe</t>
  </si>
  <si>
    <t>Le Temple Shaolin</t>
  </si>
  <si>
    <t>La Serre de l’Aigle</t>
  </si>
  <si>
    <t>L’Homme Ivre</t>
  </si>
  <si>
    <t>La Mante Religieuse</t>
  </si>
  <si>
    <t>Shuai Chao</t>
  </si>
  <si>
    <t>Tai chi</t>
  </si>
  <si>
    <t>Tan tui</t>
  </si>
  <si>
    <t>Wing chun</t>
  </si>
  <si>
    <t>Kung-fu supérieur: L’homme ivre</t>
  </si>
  <si>
    <t>Bonus à la Parade de +1 mais sa démarche titubante réduit son Allure de -2 lorsqu’il utilise ce style</t>
  </si>
  <si>
    <t>Kung-fu supérieur: La serre de l’aigle</t>
  </si>
  <si>
    <t>Tes attaques de Combat infligent For + d4 points de dégâts et ont une PA 2.</t>
  </si>
  <si>
    <t>Kung-fu supérieur: La Mante Religieuse</t>
  </si>
  <si>
    <t>Défausse-toi des cartes inférieures ou égales à 5 que tu pioches en combat. S’il a l’Atout Vif, défausse- toi des cartes inférieures ou égales à 8.</t>
  </si>
  <si>
    <t>Ton fourbe hombre bénéficie d’un bonus de +2 lorsqu’il fait des jets de Sarcasme ou accomplit des Ruses d’Agilité.</t>
  </si>
  <si>
    <t>Kung-fu supérieur: Le Singe</t>
  </si>
  <si>
    <t>Kung-fu supérieur: Le temple de Shaolin</t>
  </si>
  <si>
    <t>Les attaques de Combat à mains nues de ton héros infligent For + d6 points de dégâts.</t>
  </si>
  <si>
    <t>Kung-fu supérieur: Shuai Chao</t>
  </si>
  <si>
    <t>Si ton personnage attrape un adversaire et choisit de lui infliger des dégâts, la combinaison des clés et des coups de poing vicieux lui feront subir For + d4 points de dégâts</t>
  </si>
  <si>
    <t>Kung-fu supérieur: Tai chi</t>
  </si>
  <si>
    <t>Ta victime recule de 1d4 cases par succès et par Relance sur ton jet de Combat. S’ils touchent un objet solide, comme un mur, ils sont automatiquement Secoués</t>
  </si>
  <si>
    <t>Kung-fu supérieur: Tan tui</t>
  </si>
  <si>
    <t>Les coups de pied de ton hombre infligent For + d6 points de dégâts. S’il se retrouve à terre, il peut utiliser ses puissantes jambes pour se remettre sur ses pieds sans y consacrer d’action de mouvement</t>
  </si>
  <si>
    <t>Kung-fu supérieur: Wing chun</t>
  </si>
  <si>
    <t>Tant que ton héros attaque à mains nues, il peut faire une attaque de Combat supplémentaire sans pénalité.</t>
  </si>
  <si>
    <t>Base 168</t>
  </si>
  <si>
    <t>Tu tangues alentours comme si tu étais sur un arbre perché dans un lac d’eau-de-feu, ce qui rend tes mouvements difficiles à suivre ou à prédire.</t>
  </si>
  <si>
    <t>C’est un style rapide et vicieux dans lequel tes mains prennent la forme de serres et déchirent les points de pression de ta malheureuse victime</t>
  </si>
  <si>
    <t>Un étudiant du style de la Mante tient ses mains comme des crochets et ses mouvements peuvent être d’un calme hypnotique et porter une attaque fulgurante en un instant terrifiant</t>
  </si>
  <si>
    <t>Dans ce style, tu t’accroupis, grimaces et puis bouges sournoisement avec rapidité. Cela surprend tes adversaires, qui te sous-estiment souvent parce que tu as l’air vraiment marrant</t>
  </si>
  <si>
    <t>Les mouvements sont la base des cinq styles animaux: La Grue, Le Serpent, Le Tigre, Le Dragon et Le Léopard</t>
  </si>
  <si>
    <t>Le pratiquant attrape ou projette son adversaire, tout en frappant avec ses mains et en portant des coups du lapin</t>
  </si>
  <si>
    <t>Tu te concentres sur ton chi à un degré si exceptionnel que tes attaques sont capables d’envoyer ton adversaire à mi-chemin de Philadelphie, et qu’elles ont pourtant l’air d’être aussi douces qu’une brise</t>
  </si>
  <si>
    <t>Ce style met l’accent sur un déluge de coups puissants à la fois défensifs et offensifs.</t>
  </si>
  <si>
    <t>Apparition</t>
  </si>
  <si>
    <t>Lorsqu’il effectue un jet d’Intimidation et qu’il obtient une Joker, ceux qui lui font face doivent faire un jet sur la Table de Terreur.</t>
  </si>
  <si>
    <t>Feu de l'Enfer</t>
  </si>
  <si>
    <t>Froid de la Tombe</t>
  </si>
  <si>
    <t>Implacable</t>
  </si>
  <si>
    <t>Ignore 2 points de pénalité due aux blessures, avantage qui peut se cumuler avec Nerfs d’acier.</t>
  </si>
  <si>
    <t>Infestation</t>
  </si>
  <si>
    <t>Accro</t>
  </si>
  <si>
    <t>Mutilé</t>
  </si>
  <si>
    <t>Défiguré</t>
  </si>
  <si>
    <t>Fou</t>
  </si>
  <si>
    <t>Tous ses jets d’encaissement subissent une pénalité de -2.</t>
  </si>
  <si>
    <t>La médecine tribale et les miracles ne fonctionnent pas sur lui, contrairement aux sortilèges, à la Science folle et à la magie noire</t>
  </si>
  <si>
    <t>Base 57/ Base 214</t>
  </si>
  <si>
    <t>Base 58/ Base 214</t>
  </si>
  <si>
    <t>Une fois qu’il dort, peut faire un jet de Perception (+2) pour se réveiller rapidement sans pénalité de Vigueur</t>
  </si>
  <si>
    <t>Avec un jet de Perception à 5 trouve le nord. Avec un jet d'Astuce à 9, détermine l’heure qu’il est.</t>
  </si>
  <si>
    <t>Tout résultat sur la table des séquelles de Terreur inférieur ou égal à 9 est ignoré</t>
  </si>
  <si>
    <t>Base 144</t>
  </si>
  <si>
    <t>Lost Angels + Base 168</t>
  </si>
  <si>
    <t>+2 à tous les jets visant à accomplir un dressage et les animaux qui montent la garde ne le repèrent jamais.</t>
  </si>
  <si>
    <t>Tire deux Jetons supplémentaires en début de partie. Ne peuvent pas être convertis en prime à la fin de l’aventure.</t>
  </si>
  <si>
    <t>Tire un Jeton supplémentaire en début de partie. Ne pourra  pas être converti en prime à la fin de l’aventure.</t>
  </si>
  <si>
    <t>+2 en Sarcasme</t>
  </si>
  <si>
    <t>+2 en Intimidation</t>
  </si>
  <si>
    <t>+2 aux jets d’Agilité quand il s’agit de traverser la glace ou la neige et +1 à tous les jets de Discrétion sur ces surfaces</t>
  </si>
  <si>
    <t>Base 131 et 133</t>
  </si>
  <si>
    <t>Permet une fois par session d'annuler un Echec Critique.</t>
  </si>
  <si>
    <t>-1 à tous ses jets d’Agilité dans la neige, et -2 en Furtivité quand il tente d’éviter les craquements sur de la glace</t>
  </si>
  <si>
    <t>-1 à tous ses jets d’Agilité dans la neige, et -2 en Discrétion quand il tente d’éviter les craquements sur de la glace</t>
  </si>
  <si>
    <t>Se plante lorsque la moitié des dés seulement indiquent 1</t>
  </si>
  <si>
    <t>Chaque fois que le personnage obtient un Echec Critique, les conséquences sont les plus catastrophiques possibles et/ou touchent aussi les alliés.</t>
  </si>
  <si>
    <t>Chaque fois que le karatéka fait appel à un pouvoir Chi, cela déclenche des effets spéciaux très voyants</t>
  </si>
  <si>
    <t>Chaque fois que quelqu’un défie le personnage, il doit réussir un jet d'Âme et un jet d'Intellect pour se retenir d’attaquer</t>
  </si>
  <si>
    <t>Chaque fois que quelqu’un défie le personnage, il doit réussir un jet d'Âme ou un jet d'Intellect pour se retenir d’attaquer</t>
  </si>
  <si>
    <t>Chaque jour, doit perdre 1d4 points de Blessures par automutilation. S’il ne le fait pas, il souffre d’une pénalité de -2</t>
  </si>
  <si>
    <t>Dans un lieu peuplé ou en ville: Agilité et Intellect souffrent d’un malus de 1 point.</t>
  </si>
  <si>
    <t>Dès que la température baisse au point de geler, malus de-1 en Agilité et Allure, et Aptitudes qui en découlent</t>
  </si>
  <si>
    <t>Toute nourriture qui n’est pas soigneusement préparée, fait perdre 1d6 pts de Souffle pendant 1d4h</t>
  </si>
  <si>
    <t>The Quick &amp; The Dead</t>
  </si>
  <si>
    <t>Ton héros est né hors mariage et cela te vaut du mépris mais tu as le don de trouver toujours ce que tu cherches.</t>
  </si>
  <si>
    <t>Tu es particulièrement résistant à la magie: Donne des points de Protection et/ou de résistance en échange de Pépites</t>
  </si>
  <si>
    <t>Tu as le don de ressentir et de détecter la magie voir parfois d'en deviner les effets si tu es toi-même Hukster ou Savant Fou.</t>
  </si>
  <si>
    <t>Tu peux te défausser d'un Jeton blanc pour ressentir les pensées des animaux, bleu pour les calmer, rouge pour communiquer avec eux et même parfois leur demander des faveurs</t>
  </si>
  <si>
    <t>Peut tenter de soigner par simple imposisition des mains, Pépite blanche pour du Souffle, Rouge pour donner une réussite automatique de guérison naturelle, Bleue pour guérir 2 niveaux de blessures.</t>
  </si>
  <si>
    <t>Un corbeau c'est penché sur ton berceau et t'as donné le don de psychométrie: Blanche: un Jour, Rouge: un An Bleu: un siècle</t>
  </si>
  <si>
    <t>Tu as été enlevé par un chat qui t'as volé 4 souffle mais t'as donné 9 vies en échange. Blanche: retombe toujours sur tes pattes. Rouge: peut voir dans la pénombre. Bleue: Peut annuler tous les dommages reçus pendant un segment.</t>
  </si>
  <si>
    <t>Tu as frôlé la mort par le passé et tu en as gardé le don de communiquer avec les ancêtres. Blanche tu connais son nom et cela ne dure que le temps du rituel. Rouge, cela dure un heure par dé d'Âme. Bleue: tu peux "marquer" une personne et communiquer avec elle si elle meurt.</t>
  </si>
  <si>
    <t>+2 à tous les jets de Vigueur pour marcher sur des distances très longues sans fatiguer.</t>
  </si>
  <si>
    <t>Le Hukster a un objet ou rituel fétiche qui "l'aide" à lancer ses sorts: -6 au moment de lancer un sort si le husker n'a pas son objet de focalisation ou le temps de réaliser son "rituel".</t>
  </si>
  <si>
    <t>Le Hukster a un objet ou rituel fétiche qui "l'aide" à lancer ses sorts: -9 au moment de lancer un sort si le husker n'a pas son objet de focalisation ou le temps de réaliser son "rituel".</t>
  </si>
  <si>
    <t>Bonus de +3 à tout adversaire pratiquant ce style pour toucher ton héros.</t>
  </si>
  <si>
    <t>Tout adversaire pratiquant le style en question voit son Seuil de Difficulté pour toucher le héros réduit de -3.</t>
  </si>
  <si>
    <t>Bonus de +3 à tout adversaire pratiquant un des styles (ou +6 si un seul style est choisi) pour toucher ton héros.</t>
  </si>
  <si>
    <t>Bonus de +3 à tout adversaire pratiquant un des styles (ou +9 si un seul style est choisi) pour toucher ton héros.</t>
  </si>
  <si>
    <t>Dès le début de chaque partie, tous ses jets de dés de la session sont pénalisés à -5. Ce malus diminue en utilisant des pépites.</t>
  </si>
  <si>
    <t>Dès le début de chaque partie, tous ses jets de dés de la session sont pénalisés à -1. Ce malus diminue en utilisant des pépites.</t>
  </si>
  <si>
    <t>Dès le début de chaque partie, tous ses jets de dés de la session sont pénalisés à -2. Ce malus diminue en utilisant des pépites.</t>
  </si>
  <si>
    <t>Dès le début de chaque partie, tous ses jets de dés de la session sont pénalisés à -3. Ce malus diminue en utilisant des pépites.</t>
  </si>
  <si>
    <t>Dès le début de chaque partie, tous ses jets de dés de la session sont pénalisés à -4. Ce malus diminue en utilisant des pépites.</t>
  </si>
  <si>
    <t>Dès le début de chaque partie, tous ses jets de dés de la session sont pénalisés à -1. Ce malus est annulé pour la session en utilisant un Jeton blanc.</t>
  </si>
  <si>
    <t>Dès le début de chaque partie, tous ses jets de dés de la session sont pénalisés à -2. Ce malus est annulé  pour la session en utilisant deux Jetons blancs ou un Rouge.</t>
  </si>
  <si>
    <t>Dès le début de chaque partie, tous ses jets de dés de la session sont pénalisés à -3. Ce malus est annulé  pour la session en utilisant trois Jetons blancs ou deux Rouges ou un Bleu.</t>
  </si>
  <si>
    <t>Dès le début de chaque partie, tous ses jets de dés de la session sont pénalisés à -4. Ce malus est annulé  pour la session en utilisant trois Jetons Rouges ou deux Bleus.</t>
  </si>
  <si>
    <t>Dès le début de chaque partie, tous ses jets de dés de la session sont pénalisés à -5. Ce malus est annulé  pour la session en utilisant trois Jetons Bleus ou un Légendaire.</t>
  </si>
  <si>
    <t>Avec Arcane, ou universalis : occultisme au niveau 3 peut être détecté comme portant la marque du Manitou.</t>
  </si>
  <si>
    <t>Le personnage a un doux rêve dans la vie. Test d'Intellect à -2 pour y résister.</t>
  </si>
  <si>
    <t>Le personnage a une ambition modeste dans la vie. Test d'Intellect à -4 pour y résister.</t>
  </si>
  <si>
    <t>Le personnage a une ambition dans la vie. Test d'Intellect à -6 pour y résister.</t>
  </si>
  <si>
    <t>Le personnage a une ambition forte dans la vie.  Test d'Intellect à -8 pour y résister.</t>
  </si>
  <si>
    <t>Amis Haut Placés/Contacts (Faible)</t>
  </si>
  <si>
    <t>Amis Haut Placés/Contacts (Moyen)</t>
  </si>
  <si>
    <t>Amis Haut Placés/Contacts (Puissant)</t>
  </si>
  <si>
    <t>Amis Haut Placés/Contacts (Très faible)</t>
  </si>
  <si>
    <t>Amis Haut Placés/Contacts (Très puissant)</t>
  </si>
  <si>
    <t>Don: Enfant du chat/Increvable</t>
  </si>
  <si>
    <t>Don: Voile Bleu/Sixième Sens</t>
  </si>
  <si>
    <t>Faire-valoir/Acolyte</t>
  </si>
  <si>
    <t>Faveur des Esprits</t>
  </si>
  <si>
    <t>Hurlement rebelle/Cri de Guerre</t>
  </si>
  <si>
    <t>Peur de rien/Brave</t>
  </si>
  <si>
    <t>Pied léger/Véloce (rapide)</t>
  </si>
  <si>
    <t>Pied léger/Véloce (très rapide)</t>
  </si>
  <si>
    <t>Pied léger/Véloce (vraiment très rapide)</t>
  </si>
  <si>
    <t>Pied léger/Véloce (extrêmement rapide)</t>
  </si>
  <si>
    <t>Pied léger/Véloce (plus rapide que l'éclair)</t>
  </si>
  <si>
    <t>Avec un jet de Perception réussi trouve le nord. Avec un jet d'Intellect à réussi, détermine l’heure qu’il est.</t>
  </si>
  <si>
    <t>Troupeau de Fidèles</t>
  </si>
  <si>
    <t>Veinard/Chanceux</t>
  </si>
  <si>
    <t>Vieux de la vieille/Vétéran</t>
  </si>
  <si>
    <t>Accoutumance /Mauvaise manie légère</t>
  </si>
  <si>
    <t>Accoutumance /Mauvaise manie grave</t>
  </si>
  <si>
    <t>-2 à tous les tests impliquant la voix sauf pour se défendre</t>
  </si>
  <si>
    <t>Désir de mort/Suicidaire</t>
  </si>
  <si>
    <t>Gros Dodo/Sommeil Lourd</t>
  </si>
  <si>
    <t>La loi de l'Ouest/Code d'Honneur</t>
  </si>
  <si>
    <t>La Marque du démon</t>
  </si>
  <si>
    <t>Une fois par session, le Marshal peut jeter un Jeton Bleu et annuler ton jet pour le remplacer par un Echec Critique</t>
  </si>
  <si>
    <t>Panier Perçé/Poches Percées</t>
  </si>
  <si>
    <t>Rachitique/Frêle</t>
  </si>
  <si>
    <t>Respect des coutumes ancestrales/Serment des Anciennes traditions</t>
  </si>
  <si>
    <t>Respect des coutumes ancestrales/Serment des Anciennes traditions a tout prix</t>
  </si>
  <si>
    <t>Terreurs Nocturnes/Mauvais Rêves</t>
  </si>
  <si>
    <t>Thomas l'incrédule/Sceptique</t>
  </si>
  <si>
    <t>Tourments (Spleen passager)</t>
  </si>
  <si>
    <t>Tourments (Spleen régulier)</t>
  </si>
  <si>
    <t>Tourments (Spleen ambarassant)</t>
  </si>
  <si>
    <t>Tourments (Dépressif)</t>
  </si>
  <si>
    <t>Tourments (Dépressif grave)</t>
  </si>
  <si>
    <t>Vulnérabilité Spécifique (deux styles ou un style fort)</t>
  </si>
  <si>
    <t>Vulnérabilité Spécifique (trois styles ou un style très fort)</t>
  </si>
  <si>
    <t>Croyant?</t>
  </si>
  <si>
    <t>Conversion 8</t>
  </si>
  <si>
    <t>Le  personnage est  accepté dans une tribu "ennemie" est apprécié par les alliés de celle-ci, et poursuivi par les mêmes ennemis.</t>
  </si>
  <si>
    <t>+ 2 en Charisme s'il est connu de ses interlocuteurs (1 chance sur 2), Atout Riche. Peut disposer de troupes à ses ordres, de terres, d’une demeure ancestrale et d’autres biens à gérer.</t>
  </si>
  <si>
    <t>Base 64/Conversion 8</t>
  </si>
  <si>
    <t>Robe/Chasuble noblion</t>
  </si>
  <si>
    <t>Argent brut (once)</t>
  </si>
  <si>
    <t>Corde (20 mètres)</t>
  </si>
  <si>
    <t>Kit de messe</t>
  </si>
  <si>
    <t>Or brut (once)</t>
  </si>
  <si>
    <t>Perceuse à main</t>
  </si>
  <si>
    <t>Tabac à chiquer (boite)</t>
  </si>
  <si>
    <t>Tabac à fumer (bourse)</t>
  </si>
  <si>
    <t>Etui à fusil</t>
  </si>
  <si>
    <t>Bière (verre)</t>
  </si>
  <si>
    <t>Alcool tord boyaux (bouteille)</t>
  </si>
  <si>
    <t>Camera de l'Epitaph</t>
  </si>
  <si>
    <t>Portée Classic</t>
  </si>
  <si>
    <t>Portée Reload</t>
  </si>
  <si>
    <t>Coup/ Mun.</t>
  </si>
  <si>
    <t>2d8</t>
  </si>
  <si>
    <t>24/48/96</t>
  </si>
  <si>
    <t>Tir Statique</t>
  </si>
  <si>
    <t>20/40/80</t>
  </si>
  <si>
    <t xml:space="preserve"> 2d8 </t>
  </si>
  <si>
    <t>PA</t>
  </si>
  <si>
    <t>Type de Système</t>
  </si>
  <si>
    <t>Classic</t>
  </si>
  <si>
    <t>Reloaded</t>
  </si>
  <si>
    <t>Perc. Rech. 2</t>
  </si>
  <si>
    <t>12/24/48</t>
  </si>
  <si>
    <t>Carabine LeMat (Shotgun)</t>
  </si>
  <si>
    <t>5/10/20</t>
  </si>
  <si>
    <t>2d6+1</t>
  </si>
  <si>
    <t>15/30/60</t>
  </si>
  <si>
    <t xml:space="preserve"> 2d8</t>
  </si>
  <si>
    <t>Fusil Mousquet Enfield</t>
  </si>
  <si>
    <t>+2 en Tir</t>
  </si>
  <si>
    <t>Simple Cannon et Barrilet</t>
  </si>
  <si>
    <t>Double Cannon et Barrilet</t>
  </si>
  <si>
    <t>Winchester Lever Action</t>
  </si>
  <si>
    <t>6/12/24</t>
  </si>
  <si>
    <t>Levier, +2 en Tir</t>
  </si>
  <si>
    <t>4/8/16</t>
  </si>
  <si>
    <t>Nitroglycérine (240cl)</t>
  </si>
  <si>
    <t>3/6/12</t>
  </si>
  <si>
    <t>Parade +1, Allonge 1</t>
  </si>
  <si>
    <t>Pistolet Volcanic.41</t>
  </si>
  <si>
    <t>Pistolet Volcanic.31</t>
  </si>
  <si>
    <t xml:space="preserve">1 à 2d6+1 </t>
  </si>
  <si>
    <t xml:space="preserve">2d6+1 </t>
  </si>
  <si>
    <t xml:space="preserve">2d6 + 2d6+1 </t>
  </si>
  <si>
    <t>CàC, Parade +1, Allonge 1</t>
  </si>
  <si>
    <t>CàC, Parade -1, Allonge 2</t>
  </si>
  <si>
    <t>CàC, Parade -1, Allonge 1</t>
  </si>
  <si>
    <t xml:space="preserve">1 à 3d6+1 </t>
  </si>
  <si>
    <t>Carabine Gatling</t>
  </si>
  <si>
    <t>2d8+2</t>
  </si>
  <si>
    <t>2d8+4</t>
  </si>
  <si>
    <t xml:space="preserve">2d8+4 </t>
  </si>
  <si>
    <t>2d8+6</t>
  </si>
  <si>
    <t>2d6+6</t>
  </si>
  <si>
    <t>6d6</t>
  </si>
  <si>
    <t>3d6+6</t>
  </si>
  <si>
    <t>2/4/8</t>
  </si>
  <si>
    <t>200/400/800</t>
  </si>
  <si>
    <t>240/480/960</t>
  </si>
  <si>
    <t>280/560/1020</t>
  </si>
  <si>
    <t>Carte</t>
  </si>
  <si>
    <t>Roi-As</t>
  </si>
  <si>
    <t>10-Dame</t>
  </si>
  <si>
    <t>4-9</t>
  </si>
  <si>
    <t>Valeur des cartes en Reloaded</t>
  </si>
  <si>
    <t>Dé d'Attribut</t>
  </si>
  <si>
    <t>Pts de Compét.</t>
  </si>
  <si>
    <t>Précisez d'abord le type de Système de Jeu Employé</t>
  </si>
  <si>
    <t>Cbt</t>
  </si>
  <si>
    <t>Cmd</t>
  </si>
  <si>
    <t>Etr</t>
  </si>
  <si>
    <t>Jok</t>
  </si>
  <si>
    <t>Lég</t>
  </si>
  <si>
    <t>Pou</t>
  </si>
  <si>
    <t>Pro</t>
  </si>
  <si>
    <t>Soc</t>
  </si>
  <si>
    <t>A</t>
  </si>
  <si>
    <t>V</t>
  </si>
  <si>
    <t>H</t>
  </si>
  <si>
    <t>N</t>
  </si>
  <si>
    <t>Bck</t>
  </si>
  <si>
    <t>Rg.</t>
  </si>
  <si>
    <t>M</t>
  </si>
  <si>
    <t>m</t>
  </si>
  <si>
    <t>Maj/ Min</t>
  </si>
  <si>
    <t>Dommages Reloaded</t>
  </si>
  <si>
    <t>3d6</t>
  </si>
  <si>
    <t>3d8</t>
  </si>
  <si>
    <t>3d20</t>
  </si>
  <si>
    <t>3d10</t>
  </si>
  <si>
    <t>0</t>
  </si>
  <si>
    <t xml:space="preserve"> 5d8</t>
  </si>
  <si>
    <t xml:space="preserve">3d6 </t>
  </si>
  <si>
    <t xml:space="preserve">2d6 + 3d6 </t>
  </si>
  <si>
    <t xml:space="preserve"> 5d8 </t>
  </si>
  <si>
    <t>4d8</t>
  </si>
  <si>
    <t xml:space="preserve">4d8 </t>
  </si>
  <si>
    <t>5d10</t>
  </si>
  <si>
    <t xml:space="preserve">5d8 </t>
  </si>
  <si>
    <t>5d8</t>
  </si>
  <si>
    <t>4d8 + 4d6</t>
  </si>
  <si>
    <t>2d6 + 6d6</t>
  </si>
  <si>
    <t>2d6 + 4d6</t>
  </si>
  <si>
    <t>Dommages Classic</t>
  </si>
  <si>
    <t>2d6+2</t>
  </si>
  <si>
    <t>2d6 +1</t>
  </si>
  <si>
    <t>Détérré?</t>
  </si>
  <si>
    <t>tot</t>
  </si>
  <si>
    <t>Vrai/faux?</t>
  </si>
  <si>
    <t>Macahuitl en obsidienne (bâton à 2 mains)</t>
  </si>
  <si>
    <t>déForce</t>
  </si>
  <si>
    <t>déAgilité</t>
  </si>
  <si>
    <t>déÂme</t>
  </si>
  <si>
    <t>déVigueur</t>
  </si>
  <si>
    <t>Baïonette</t>
  </si>
  <si>
    <t>Année de jeu</t>
  </si>
  <si>
    <t>Le héros a à son ainsu un avantage "Money, Money" OU "Possession" défini par le Marshal. Cet héritage n'ammène que des problèmes.</t>
  </si>
  <si>
    <t>Le héros a à son ainsu un avantage "Money, Money" OU "Possession" défini par le Marshal. Cet héritage est dans l'ensemble une bonne chose.</t>
  </si>
  <si>
    <t>Le personnage possède à son ainsu une relique définie par le Marshal. Elle maudite, précieuse et mystérieuse qui lui attire des ennuis.</t>
  </si>
  <si>
    <t>Le personnage possède à son ainsu une relique définie par le Marshal. Elle est bénie, précieuse et mystérieuse. Voir l'Atout "Main droite du Diable".</t>
  </si>
  <si>
    <t>Origine</t>
  </si>
  <si>
    <t>Permet de créer de vraies Machines infernales. Choisis l’un des pouvoirs que tu possèdes. Le gadget n’utilise plus de Point de pouvoir et fonctionne par la suite avec la seule roche fantôme. Voir p.166</t>
  </si>
  <si>
    <t>Après 24h sans eau ou repas, si au moins 1/2 eau ou nourriture nécessaire: jet de Vigueur sans malus. Echec = un niv. de fatigue. Doit faire un jet toutes les 12h contre la faim et tous les 6h contre la soif.</t>
  </si>
  <si>
    <t>Après 24h sans eau ou repas, si au moins 1/4 eau ou nourriture nécessaire: jet de Vigueur sans malus. Echec = un niv. de fatigue. Doit faire un jet toutes les 12h contre la faim et tous les 6h contre la soif.</t>
  </si>
  <si>
    <t>Après 24h sans eau ou repas, si au moins 1/4 eau ou nourriture nécessaire: jet de Vigueur sans malus. Echec = un niv. de fatigue. Doit faire un jet toutes les 24h contre la faim et tous les 12h contre la soif.</t>
  </si>
  <si>
    <t>Après 24h sans eau ou repas, si au moins 1/4 eau ou nourriture nécessaire: jet de Vigueur sans malus. Echec = un niv. de fatigue. Doit faire un jet toutes les 48h contre la faim et tous les 24h contre la soif.</t>
  </si>
  <si>
    <t>Après 24h sans eau ou repas, si au moins 1/3 eau ou nourriture nécessaire: jet de Vigueur sans malus. Echec = un niv. de fatigue. Doit faire un jet toutes les 72h contre la faim et tous les 48h contre la soif.</t>
  </si>
  <si>
    <t>Un As ajoute +2 à tous ses jets de Conduite, de Navigation et de Pilotage. Il peut aussi dépenser des Jetons pour faire des jets d’Encaissement pour tout véhicule qu’il contrôle. (Voir p.76)</t>
  </si>
  <si>
    <t>Une fois par session de jeu un Bricoleur de génie peut fabriquer un gadget « bricolé » à partir de pièces diverses. (Voir p.76)</t>
  </si>
  <si>
    <t>Ajoute +2 aux dégâts lorsqu’il attaque des créatures du mal (ou du bien). Sa Résistance est augmentée de 2 contre les dégâts causés par une source maléfique (ou bienfaisante pour un Champion impie).</t>
  </si>
  <si>
    <t>Peut piocher 1X/session jusqu'à sa valeur de Trempe (max 10) pépites d '«avance» sur ses pépites à venir. Il ne peut par contre pas en recevoir et doit remettre au fur et à mesure des pépites tant qu'il n'a pas remboursé.</t>
  </si>
  <si>
    <t>Peut piocher 1X/session jusqu'à sa valeur de Trempe (max 10) Jetons d '«avance» sur ses Jetons à venir. Il ne peut par contre pas en recevoir et doit remettre au fur et à mesure des Jetons tant qu'il n'a pas remboursé.</t>
  </si>
  <si>
    <t>1X/round, lorsqu’un ennemi rate une atk au CàC contre lui, le personnage peut faire une atk gratuite. L’attaque subit un malus de -2, et doit être une attaque normale et ne peut être combinée avec d’autres Atouts.</t>
  </si>
  <si>
    <t>1X/round, lorsqu’un ennemi rate une atk au CàC contre lui, le personnage peut faire une atk gratuite. L’attaque doit être une attaque normale et ne peut être combinée avec d’autres Atouts.</t>
  </si>
  <si>
    <t>+2 en Persuasion pour raconter une histoire concernant les exploits de son groupe. Ne peut jamais se planter en Persuasion. Quand ce conteur abaisse un Niveau de Peur, il obtient une Pépite légendaire.</t>
  </si>
  <si>
    <t>+2 en Persuasion pour raconter une histoire concernant les exploits de son groupe. Ne se plante en Persuasion que sur un échec critique. Qd conteur réussit à abaisser un Niv. de Peur, obtient un Jeton légendaire.</t>
  </si>
  <si>
    <t>Ne subit aucun malus sur ses jets de Traits dus au manque d’outils dans la plupart des situations. En plus, avec quelques objets, outillage ou machines simples il arrive à bricoler un appareil sommaire.</t>
  </si>
  <si>
    <t>Blanche: Tu peux empêcher qqun d'utiliser ses faveurs, Rouge: Augmente de 1 le niveau de Terreur. Bleue: Tu peux pénètrer physiquement dans la Terre des Morts mais doit réussir un jet de Foi à 11 ou perdre 1 point d'Âme.</t>
  </si>
  <si>
    <t>Qd les dés qd passe dans un État critique ou sur la Table des Blessures, ignore les malus dus aux blessures. Seul les jets de Vigueur sur ces tables concernés: subit toujours les malus pour les autres Traits.</t>
  </si>
  <si>
    <t>Don de communiquer avec les ancêtres: Blanche: tu connais son nom et cela dure le temps du rituel. Rouge: cela dure 1h par dé d'Âme. Bleue: Peux "marquer" une personne et communiquer avec elle si elle meurt.</t>
  </si>
  <si>
    <t>Tu es parfaitement en communion avec la nature à condition de lui témoigner du respect et de la protéger: Blanche : Peut ajouter +2 en Escalade, Pister, Survie ou +4 en Furtivité dans la nature. Rouge: Peut soigner des blessures qui requièrent Médecine avec des cataplasmes Bleue: Peut parler avec et comprendre animaux.</t>
  </si>
  <si>
    <t>En cas d’attaque surprise, peut faire un jet de Perception à -2 juste avant. En cas de succès, il sait que quelque chose va se produire et il s’y prépare. Il sera donc En attente au premier round de combat.</t>
  </si>
  <si>
    <t>Ne se fera prendre en train de tricher que s’il obtient un échec critique. Les autres subissent une pénalité de -2 sur leurs jets de Perception lorsqu’ils essaient de déterminer si tu es en train de lancer un sortilège.</t>
  </si>
  <si>
    <t>Si blessé (ou même Secoué par atk) Test d’Intellect ou devient Enragé: -2 Parade, +2 Résistance, à tous ses jets de Combat et de Force ainsi qu’aux dégâts au CàC. Ignore tous les malus de blessures, Voir Base 63.</t>
  </si>
  <si>
    <t>1X/session, peut créer un talisman et le charger en énergie magique. Possède 1/3 des Pts de Pouvoir de son créateur. Pas possible de recharger l’objet. Le rituel prend 1d20 minutes et activation sur jet d’Âme.</t>
  </si>
  <si>
    <t>1X/session, peut créer un talisman et le charger en énergie magique. Possède 2/3 des Pts de Pouvoir de son créateur. Pas possible de recharger l’objet. Le rituel prend 1d20 minutes et activation sur jet d’Âme.</t>
  </si>
  <si>
    <t>1X/session, peut créer un talisman et le charger en énergie magique. Possède 1/2 des Pts de Pouvoir de son créateur. Pas possible de recharger l’objet. Le rituel prend 1d20 minutes et activation sur jet d’Âme.</t>
  </si>
  <si>
    <t>1X/session, peut créer un talisman et le charger en énergie magique. Possède 1/4 des Pts de Pouvoir de son créateur. Pas possible de recharger l’objet. Le rituel prend 1d20 minutes et activation sur jet d’Âme.</t>
  </si>
  <si>
    <t>1X/session, peut créer un talisman et le charger en énergie magique. Possède 3/4 des Pts de Pouvoir de son créateur. Pas possible de recharger l’objet. Le rituel prend 1d20 minutes et activation sur jet d’Âme.</t>
  </si>
  <si>
    <t>En réussissant un jet d’Agilité lorsqu'il romp le combat, un adversaire de votre choix ne disposera pas d’atk gratuite. En cas de Relance sur le jet d’Agilité, aucun adversaire au CàC ne bénéficiera d’une atk gratuite.</t>
  </si>
  <si>
    <t>Le héros obtient un Acolyte de Rang Novice. C’est un Joker qui gagne aussi des Primes et dont les Compétences. Si l’Acolyte meurt, il n’est pas remplacé sauf si l’Atout est de nouveau pris.</t>
  </si>
  <si>
    <t>Peut demander aux esprits de lui permettre d’utiliser un objet technologique normal (mais aucun gadget de Science étrange, ni de machine infernale) sans les offenser. Voir Base 157</t>
  </si>
  <si>
    <t>1X/round (sauf si Secoué), atk de Combat gratuite contre un ennemi adjacent en déplacement. Interrompt automatiquement l’action de l’adversaire et ne coûte pas la sienne au héros s’il est En Attente ou pas d’action dans le round.</t>
  </si>
  <si>
    <t>1X/round (sauf si Secoué), atk de Combat gratuite contre chaque ennemi adjacent en déplacement. Interrompt automatiquement les actions des adversaires et ne coûte pas la sienne au héros s’il est En Attente ou pas d’action dans le round.</t>
  </si>
  <si>
    <t>Une attaque de Combat supplémentaire par round. Cette attaque doit être appliquée en même temps qu’une autre attaque de Combat mais peut cibler deux ennemis différents adjacents au héros (Voir Base 68)</t>
  </si>
  <si>
    <t>Reçoit un uniforme, un fusil Winchester ‘73 et 20 cartouches, une gamelle, un sac de couchage, un pistolet de l’Armée et 20 cartouches et un cheval s’il est dans cavalerie. Bonus de +1 à son Charisme lorsqu’il a à faire à ceux qui le respectent.</t>
  </si>
  <si>
    <t>+2 sur leurs Compétences de Survie et de Pistage. Une vie passée à endurer la colère de la nature leur confère +2 à la Vigueur quand il s’agit de résister à la fatigue provoquée par la Chaleur ou le Froid.</t>
  </si>
  <si>
    <t>Jet d’Intimidation contre toutes les cibles dans une zone définie de 6 cases adjacente au cow-boy. Tts les créatures prises dans le cercle doivent faire un jet d’Âme Opposé au jet d’Intimidation du personnage.</t>
  </si>
  <si>
    <t>Une arme relique inflige un dé de dommage supplémentaire, du même type que le plus haut dé de dommage que l’arme peut infliger. L’Atout reste attribué à l’arme donc si tu la perds, tu perds l’Atout.</t>
  </si>
  <si>
    <t>Le Bidouilleur ajoute +2 à tous ses jets de Réparer. En outre, s’il obtient une Relance sur son jet il divise par deux le temps nécessaire pour la réparation.</t>
  </si>
  <si>
    <t>Peut recharger une arme à son tour et ignorer la pénalité habituelle de -2 à ses jets de Tir effectués dans le même round. S’il utilise une arme nécessite 1 round complet ou plus pour être rechargée, le temps réduit de 1 Round (minimum 1 round).</t>
  </si>
  <si>
    <t>1X/session, le héros peut se rappeler qu’il a en sa possession un objet utile. Cet objet doit pouvoir tenir en poche ou dans un sac, et le Marshal a toujours le dernier mot quant à ce qui peut être trouvé ou non.</t>
  </si>
  <si>
    <t>Voir Deadlands Reloaded - Livre de base p.73</t>
  </si>
  <si>
    <t>Voir Deadlands Reloaded - Livre de base p.70</t>
  </si>
  <si>
    <t>Voir Deadlands Reloaded - Livre de base p.159</t>
  </si>
  <si>
    <t>-2 à ses jets de Réparation. Et chaque fois qu’il utilise un appareil, un résultat de 1 sur son dé de Compétence (sans tenir compte du dé Joker) signifie qu'il se détraque. Le remettre en état nécessitera un jet de Réparer a -2 et 1d6 h.</t>
  </si>
  <si>
    <t>+1 à tous ses jets de dégâts, quel que ce soit avec le Combat. Se retrouve souvent en tôle ou en fuite. Si le dé du jet de Combat, de Tir ou de Lancer fait 1 (et ce quel que soit le résultat du dé Joker), l’atk touche un allié.</t>
  </si>
  <si>
    <t>k20</t>
  </si>
  <si>
    <t>k21</t>
  </si>
  <si>
    <t>k22</t>
  </si>
  <si>
    <t>k23</t>
  </si>
  <si>
    <t>k24</t>
  </si>
  <si>
    <t>k25</t>
  </si>
  <si>
    <t>k26</t>
  </si>
  <si>
    <t>k27</t>
  </si>
  <si>
    <t>k30</t>
  </si>
  <si>
    <t>k31</t>
  </si>
  <si>
    <t>k32</t>
  </si>
  <si>
    <t>k33</t>
  </si>
  <si>
    <t>k34</t>
  </si>
  <si>
    <t>k35</t>
  </si>
  <si>
    <t>k36</t>
  </si>
  <si>
    <t>k37</t>
  </si>
  <si>
    <t>Novice</t>
  </si>
  <si>
    <t>Aguerri</t>
  </si>
  <si>
    <t>Vétéran</t>
  </si>
  <si>
    <t>Légendaire</t>
  </si>
  <si>
    <t>Reste</t>
  </si>
  <si>
    <t>Dépensé</t>
  </si>
  <si>
    <t>Arcane (Illumination/ Maitrise du Chi)</t>
  </si>
  <si>
    <t>Pied de cavalerie</t>
  </si>
  <si>
    <t>Combat d10, Cran/ Blocage</t>
  </si>
  <si>
    <t>Arcane : Chamane, Intellect d8, Âme d8, Médecine tribale d8</t>
  </si>
  <si>
    <t>Arcane : Chamane, Intellect d8, Âme d8, Médecine tribale d10</t>
  </si>
  <si>
    <t>Arcane : Chamane, Intellect d8, Âme d8, Médecine tribale d12</t>
  </si>
  <si>
    <t>Peut demander aux esprits de lui permettre d’utiliser un objet technologique normal (mais aucun gadget de Science étrange, ni de machine infernale) sans les offenser. Nécéssite un rituel qui dure au minimum 10+ 1d10 minutes et une offrande.</t>
  </si>
  <si>
    <t>Arcane: Vaudou, Âme d8, Foi d4</t>
  </si>
  <si>
    <t>Arcane: Vaudou, Âme d8, Foi d6</t>
  </si>
  <si>
    <t>Arcane: Vaudou, Âme d8, Foi d8</t>
  </si>
  <si>
    <t>Arcane: Vaudou, Âme d8, Foi d10</t>
  </si>
  <si>
    <t>Arcane: Vaudou, Âme d8, Foi d12</t>
  </si>
  <si>
    <t>Arcane (Illumination/ Maitrise du Chi), Âme d6, Combat d8</t>
  </si>
  <si>
    <t>Arcanes : Occulte, Universalis : Occultisme 4 ou Arcanes d10+</t>
  </si>
  <si>
    <t>Atk à mains nues causent des dégâts de For + d4, et ils sont toujours considérés comme armés. Peut choisir de changer l’Aspect d’un des pouvoirs (voir p.75)</t>
  </si>
  <si>
    <t>Lorsque tirées sur la personne nommée par les balles, bonus de +4 aux jets pour toucher et aux dégâts/ Aucun</t>
  </si>
  <si>
    <t>Donne sur une surface de peau égale à un torse un armure de 1 pdt 1h./ Handicap: Ca va les Chevilles/Présomptueux?</t>
  </si>
  <si>
    <t>Poker</t>
  </si>
  <si>
    <t>Manille</t>
  </si>
  <si>
    <t>Rami</t>
  </si>
  <si>
    <t>Blackjack</t>
  </si>
  <si>
    <t>Craps</t>
  </si>
  <si>
    <t>Roulette</t>
  </si>
  <si>
    <t>Bridge</t>
  </si>
  <si>
    <t>Dame de Pique</t>
  </si>
  <si>
    <t>Belote</t>
  </si>
  <si>
    <t>Baccara</t>
  </si>
  <si>
    <t>Dominos</t>
  </si>
  <si>
    <t>Tarot</t>
  </si>
  <si>
    <t>Patience/Solitaire</t>
  </si>
  <si>
    <t>Billard</t>
  </si>
  <si>
    <t>Fléchettes</t>
  </si>
  <si>
    <t>Crapette</t>
  </si>
  <si>
    <t>Puant/Pouilleux</t>
  </si>
  <si>
    <t>Whist</t>
  </si>
  <si>
    <t>Bandit Manchot</t>
  </si>
  <si>
    <t>Puce</t>
  </si>
  <si>
    <t>Osselets</t>
  </si>
  <si>
    <t>Mikado</t>
  </si>
  <si>
    <t>Go</t>
  </si>
  <si>
    <t>Echecs</t>
  </si>
  <si>
    <t>Dames</t>
  </si>
  <si>
    <t>Petits Chevaux</t>
  </si>
  <si>
    <t>Jeu de l'oie</t>
  </si>
  <si>
    <t>Lotto</t>
  </si>
  <si>
    <t>Palets</t>
  </si>
  <si>
    <t>Bowling</t>
  </si>
  <si>
    <t>Voltige</t>
  </si>
  <si>
    <t>Concentrations Reloaded</t>
  </si>
  <si>
    <t>Flèchettes</t>
  </si>
  <si>
    <t>ans</t>
  </si>
  <si>
    <t>age</t>
  </si>
  <si>
    <t>Au départ: 3 points à investir dans leurs Attributs et de 10 points dans leurs Compétences. Entre 14 et 18 ans: Débute chaque session de jeu avec un Jeton en plus cumulable avec Chanceux.</t>
  </si>
  <si>
    <t>Au départ: 4 points à investir dans leurs Attributs et de 12 points dans leurs Compétences. Avant ses 14 ans: Débute chaque session de jeu avec un Jeton en plus cumulable avec Chanceux.</t>
  </si>
  <si>
    <t>Avant 14 ans: Réduit les types de dé de sa Force et sa Connaissance de deux crans, avec un minimum de d4</t>
  </si>
  <si>
    <t>Entre 14 et 18 ans: Réduit les types de dé de sa Force et sa Connaissance d’un cran, avec un minimum de d4</t>
  </si>
  <si>
    <t>Fauconnerie</t>
  </si>
  <si>
    <t>Géographie</t>
  </si>
  <si>
    <t>Biologie (Botanique)</t>
  </si>
  <si>
    <t>Biologie (Zoologie)</t>
  </si>
  <si>
    <t>Alchimie et Chimie</t>
  </si>
  <si>
    <t>Géologie</t>
  </si>
  <si>
    <t>Architecture</t>
  </si>
  <si>
    <t>Résaux</t>
  </si>
  <si>
    <t>Ambassadorial</t>
  </si>
  <si>
    <t>Commercial</t>
  </si>
  <si>
    <t>Criminel</t>
  </si>
  <si>
    <t>Journalistique</t>
  </si>
  <si>
    <t>Occulte</t>
  </si>
  <si>
    <t>Religieux</t>
  </si>
  <si>
    <t>Bâton- trois- section</t>
  </si>
  <si>
    <t>Maths</t>
  </si>
  <si>
    <t>Colt London</t>
  </si>
  <si>
    <t>Colt Pocket</t>
  </si>
  <si>
    <t>Deane, Adams and Deane</t>
  </si>
  <si>
    <t>Dreyse "à aiguille"</t>
  </si>
  <si>
    <t>Lefaucheux</t>
  </si>
  <si>
    <t>A broche</t>
  </si>
  <si>
    <t>Revolver Webley</t>
  </si>
  <si>
    <t>Revolver Tranter</t>
  </si>
  <si>
    <t>Jean Baptiste Devisme</t>
  </si>
  <si>
    <t>Daw</t>
  </si>
  <si>
    <t>Bentley</t>
  </si>
  <si>
    <t>Perrin</t>
  </si>
  <si>
    <t>Pond</t>
  </si>
  <si>
    <t>Revolver Webley Pocket</t>
  </si>
  <si>
    <t>Raphel</t>
  </si>
  <si>
    <t>Deane&amp;Son Beaumont-Adams</t>
  </si>
  <si>
    <t>Galand</t>
  </si>
  <si>
    <t>Chamelot-Delvigne</t>
  </si>
  <si>
    <t>2d6-2</t>
  </si>
  <si>
    <t>Pryse</t>
  </si>
  <si>
    <t>Mauser</t>
  </si>
  <si>
    <t>Dreyse Reichrevolver</t>
  </si>
  <si>
    <t>Joker, Tir d6</t>
  </si>
  <si>
    <t>Duelliste</t>
  </si>
  <si>
    <t>Erratas 2</t>
  </si>
  <si>
    <t>Ne subit qu'une pénalité de -2 à son jet de Tir lorsqu’il ventile (voir page 120)</t>
  </si>
  <si>
    <t>Ne subit plus aucune pénalité de -2 à son jet de Tir lorsqu’il ventile (voir page 120)</t>
  </si>
  <si>
    <t>MODIFICATEURS</t>
  </si>
  <si>
    <t>cible en mvmt/ le tireur court</t>
  </si>
  <si>
    <t>Ne subit qu'une pénalité de -1 à son jet de Tir lorsqu’il ventile (voir page 83)</t>
  </si>
  <si>
    <t>Ne subit plus aucune pénalité de -2 à son jet de Tir lorsqu’il ventile (voir page 83)</t>
  </si>
  <si>
    <t>Ventile encore plus vite que son ombre</t>
  </si>
  <si>
    <t>Ventile plus vite que son ombre</t>
  </si>
  <si>
    <t>Repousser le mal fonctionne comme un Pouvoir de rang Novice et a une portée en cases = Âme  du  personnage. Les créatures ciblées dans ce rayon font un jet d’Âme. Celles qui échouent sont Secouées. Celles qui font un résultat de 1 sont détruites ou encaissent une Blessure automatique s’il s’agit de Jokers.</t>
  </si>
  <si>
    <t>Base 77/ Erratas 2</t>
  </si>
  <si>
    <t>+2 à tous ses jets de Grimper, Crochetage et Discrétion. Le bonus à la Discrétion ne s’applique qu’en milieu urbain.</t>
  </si>
  <si>
    <t>+2 à tous ses jets de Escalade, Crochetage et Discrétion. Le bonus à la Discrétion ne s’applique qu’en milieu urbain..</t>
  </si>
  <si>
    <t>Agilité d8, Escalade d6, Crochetage d6, Discrétion d8</t>
  </si>
  <si>
    <t>Ami des bêtes</t>
  </si>
  <si>
    <t>Armure</t>
  </si>
  <si>
    <t>Compréhension des Langues</t>
  </si>
  <si>
    <t>Choc</t>
  </si>
  <si>
    <t>Colifichet</t>
  </si>
  <si>
    <t>Déflexion</t>
  </si>
  <si>
    <t>Éclair</t>
  </si>
  <si>
    <t>Enchevêtrement</t>
  </si>
  <si>
    <t>Enfouissement</t>
  </si>
  <si>
    <t>Frappe</t>
  </si>
  <si>
    <t>Lumière</t>
  </si>
  <si>
    <t>Maître de l’esprit</t>
  </si>
  <si>
    <t>Rafale</t>
  </si>
  <si>
    <t>Tempête</t>
  </si>
  <si>
    <t>Ténèbres</t>
  </si>
  <si>
    <t>Visée</t>
  </si>
  <si>
    <t>PP</t>
  </si>
  <si>
    <t>Descriptif</t>
  </si>
  <si>
    <t>2 à 4</t>
  </si>
  <si>
    <t>Terreur</t>
  </si>
  <si>
    <t>Toucher</t>
  </si>
  <si>
    <t>Barrière</t>
  </si>
  <si>
    <t>1/Section</t>
  </si>
  <si>
    <t>10 min (1/10 min)</t>
  </si>
  <si>
    <t>1m</t>
  </si>
  <si>
    <t>Grande Guérison</t>
  </si>
  <si>
    <t>10 ou 20</t>
  </si>
  <si>
    <t>Invisibilité</t>
  </si>
  <si>
    <t>Personelle</t>
  </si>
  <si>
    <t>Joueur</t>
  </si>
  <si>
    <t>30 min (1/10 min)</t>
  </si>
  <si>
    <t>2kmXArcane</t>
  </si>
  <si>
    <t>1/min</t>
  </si>
  <si>
    <t>Manipulation Elémentaire (Air)</t>
  </si>
  <si>
    <t>Manipulation Elémentaire (Eau)</t>
  </si>
  <si>
    <t>Manipulation Elémentaire (Feu)</t>
  </si>
  <si>
    <t>Manipulation Elémentaire (Terre)</t>
  </si>
  <si>
    <t>1/h</t>
  </si>
  <si>
    <t>Marionette</t>
  </si>
  <si>
    <t>Gabarit Cône</t>
  </si>
  <si>
    <t>Télékinésie (soulever des créatures)</t>
  </si>
  <si>
    <t>Télékinésie (armes télékinétiques)</t>
  </si>
  <si>
    <t>Télékinésie (chutes)</t>
  </si>
  <si>
    <t>Téléportation</t>
  </si>
  <si>
    <t>3+</t>
  </si>
  <si>
    <t>1 min (1/min)</t>
  </si>
  <si>
    <t>Transformation (Novice)</t>
  </si>
  <si>
    <t>Transformation (Aguerri)</t>
  </si>
  <si>
    <t>Transformation (Vétéran)</t>
  </si>
  <si>
    <t>Transformation (Héroïque)</t>
  </si>
  <si>
    <t>Transformation (Légendaire)</t>
  </si>
  <si>
    <t>Vision</t>
  </si>
  <si>
    <t>3 (1/min)</t>
  </si>
  <si>
    <t>Vol</t>
  </si>
  <si>
    <t>Zombi</t>
  </si>
  <si>
    <t>3 ou 6</t>
  </si>
  <si>
    <t>3/cadavre</t>
  </si>
  <si>
    <t>Chaman?</t>
  </si>
  <si>
    <t>Elu?</t>
  </si>
  <si>
    <t>Hukster?</t>
  </si>
  <si>
    <t>Savant Fou?</t>
  </si>
  <si>
    <t>Shaolin?</t>
  </si>
  <si>
    <t>Vaudou?</t>
  </si>
  <si>
    <t>Occulte?</t>
  </si>
  <si>
    <t>*1 poids= +/- 1kg</t>
  </si>
  <si>
    <t>Augmentation/ Diminution de Trait</t>
  </si>
  <si>
    <t xml:space="preserve"> </t>
  </si>
  <si>
    <t>Instant.</t>
  </si>
  <si>
    <t>1 (Conc.)</t>
  </si>
  <si>
    <t>Conc.</t>
  </si>
  <si>
    <t>Permnt</t>
  </si>
  <si>
    <t xml:space="preserve">Permnt </t>
  </si>
  <si>
    <t>Adaptation Environnementale</t>
  </si>
  <si>
    <t>1h (1/h)</t>
  </si>
  <si>
    <t>Permet de respirer, parler et de se déplacer à son Allure normale sous l’eau, dans le vide, la lave d’un volcan, le désert,…</t>
  </si>
  <si>
    <t>Permet de parler aux animaux et de guider leurs actions. Ne fonctionne qu’avec les créatures dotées d’ intelligence animale.</t>
  </si>
  <si>
    <t>Crée un champ de protection autour du personnage. Un succès ajoute +2 à sa Résistance et une Relance +4.</t>
  </si>
  <si>
    <t>Barrière crée un mur solide et immobile de résistance 10  pour protéger l’arcaniste ou emprisonner un adversaire.</t>
  </si>
  <si>
    <t>Ce pouvoir permet à un personnage de parler, lire et écrire une langue qu’il ne connait pas/ Relance= Dialecte particuler.</t>
  </si>
  <si>
    <t>Etourdit des cibles dans un Gabarit Moyen. Succès, réussir un jet de Vigueur ou être Secouées. Relance, le jet de Vigueur à -2.</t>
  </si>
  <si>
    <t>Toujours le bon outil ou un petit objet ordinaire à portée de la main (1PP: Allumette, 1ç; 2PP: foulard; 5ç; 3PP Derringer,25ç…)</t>
  </si>
  <si>
    <t>Avec un succès, pénalité de -2 au jets de Combat, Tir et autres jets d’atk des attaquants contre l’utilisateur. Une Relance: jet -4</t>
  </si>
  <si>
    <t>Permet d'annuler les effets magiques d'un ennemi. Aucun effet sur un pouvoir Inné, sur les objets magiques ou les enchantements.</t>
  </si>
  <si>
    <t>Éclair projette un rayon d’énergie, un projectile ou un objet sur sa ou ses cibles. Leurs dégâts de base sont égaux à 2d6 points.</t>
  </si>
  <si>
    <t>Restreint les mouvements d’une cible: jet d’Arcane vs. Agilité de la cible. Succès=malus de -2 à son Allure, Relance= Immobilisation</t>
  </si>
  <si>
    <t>Pour se cacher et de se déplacer sous terre pour surprendre: Discrétion vs. la Perception Succès +2 au dégâts et atk. Relance: +4</t>
  </si>
  <si>
    <t>Bannit les esprits maléfiques possédant un corps de mortel au bout de 8h sur un jet d’Arcane vs. Âme du démon.</t>
  </si>
  <si>
    <t>Pour 2PP: Aire d’effet (Gabarit Moyen) 2d6 points de dégâts. Augmenter les PP augmente le gabarit ou les dégât de +1d6</t>
  </si>
  <si>
    <t>Lorsque le sort est actif, les dégâts infligés par l’arme sont augmentés de +2, ou +4 avec une Relance</t>
  </si>
  <si>
    <t>Peut soigner les blessures de plus d'une heure pour 10PP. 20PP Pour les permanentes et les incapacitantes: jet d'Arcane à -4.</t>
  </si>
  <si>
    <t>Pense les plaies de &lt;1h. Maladies et poisons &lt;10 min. Chaque utilisation efface 1 blessure avec un succès, 2 avec une Relance.</t>
  </si>
  <si>
    <t>Ajoute un bonus de +2 (+4 sur une Relance) sur le jet de Persuasion effectué afin de réduire le Niveau de Peur</t>
  </si>
  <si>
    <t>Le personnage est transparent mais sa silhouette est visible. Détection avec Perception à -4 avec Succès, -6 avec relance.</t>
  </si>
  <si>
    <t>Convertit 5 PP en un Jeton tiré au hasard dans le Pot. Un échec lui coûte un Jeton remis dans le Pot.</t>
  </si>
  <si>
    <t>Fait briller un objet inanimé comme une pièce, une épée, un bouclier et éclaire dans un Grand Gabarit.</t>
  </si>
  <si>
    <t>Pour entendre, voir ou sentir par le biais des sens d’un autre s’il réussit un jet d’Arcane opposé à l’Âme de sa cible.</t>
  </si>
  <si>
    <t xml:space="preserve">Envois des maladies à tes ennemis: Compétence magique opposé à l’Âme de sa cible. </t>
  </si>
  <si>
    <t>Sait manipuler l'Air: peut créer de petits courants d’air capables d’éteindre une chandelle, attiser un feu, soulever une jupe,…</t>
  </si>
  <si>
    <t>Sait manipuler la Terre: peut faire un trou de 30cm de côté dans de la terre meuble (la moitié dans de la pierre), projeter du sable,…</t>
  </si>
  <si>
    <t>Sait manipuler le Feu: créer une petite flamme, attiser un feu existant ou le faire brusquement flamber plus fort,…</t>
  </si>
  <si>
    <t>Sait manipuler l'Eau: faire apparaître 1/2l d’eau quelque part à vue, purifie 4 litres d’eau, donner 2è chance de résister au poison,…</t>
  </si>
  <si>
    <t>Déplaces toi sans laisser de traces: bonus de +2 à ses jets de Discrétion. Ne fonctionne pas en intérieur.</t>
  </si>
  <si>
    <t>Jet d’Arcane opposé à l’Âme de la cible. Succès: la victime attaque ses alliés et ira même jusqu’à se donner la mort, si jet d’Âme raté.</t>
  </si>
  <si>
    <t>Réussite du jet d’Arcanes:, obtient une vision, un sentiment, d’un événement du passé de la personne ou de l’objet ciblé.</t>
  </si>
  <si>
    <t>Tu peux dépenser un Jeton pour utiliser le Pouvoir Dissipation contre les chamanes uniquement mais de manière totalement innée.</t>
  </si>
  <si>
    <t>Le personnage ne doit ni bouger, ni agir. Une créature surnaturelle doit réussir un jet d’Âme vs. Compétence d’Arcane pour pouvoir atk.</t>
  </si>
  <si>
    <t>Gabarit de Cône: dans la zone jet d’Agilité opposé au jet d’Arcanes pour en éviter les effets. En cas d’échec, 2d10 points de dégâts</t>
  </si>
  <si>
    <t>La cible peut faire 2 actions, sans encourir le malus d‘Actions multiples. Avec Relance: peut défausser toute carte d'Initiative &lt;8</t>
  </si>
  <si>
    <t>Protège un lieu contre le mal: Une telle créature surnaturelle qui tente de pénétrer doit réussir un jet d’Âme/round ou subir 1 blessure.</t>
  </si>
  <si>
    <t>Permet de récupérer un niveau de fatigue, deux avec une Relance. Il permet également de supprimer un état Secoué.</t>
  </si>
  <si>
    <t>Peut soulever à distance 5 fois son dé d’Âme avec un succès, et 25 fois son dé d’Âme avec une Relance.</t>
  </si>
  <si>
    <t>Permet de brandir une arme à distance et la faire attaquer. Dans ce cas, sa Compétence Combat = alors Compétence d'Arcane</t>
  </si>
  <si>
    <t>Fait disparaitre un perso puis réapparaitre immédiatement jusqu’à 10 cases/3 PP dépensés; 15 cases par tranche sur une Relance.</t>
  </si>
  <si>
    <t>Gabarit Moyen, en extérieur. Aveuglés et jet de Vigueur à chaque round. Si échec également Secoués. -2 aux atk à distance.</t>
  </si>
  <si>
    <t>Crée un Grand Gabarit de Ténèbres. Les attaques vers, depuis ou à travers la zone: malus habituel de l’obscurité totale de -6.</t>
  </si>
  <si>
    <t>Toute créature située dans le Grand Gabarit doit faire un jet de Tripes, avec une pénalité de -2 sur une Relance.</t>
  </si>
  <si>
    <t>Te permet de te métamorphoser en un petit animal: Faucon, Corbeau, Carpe, Grenouille, Lézard, Lapin, Chat, Rat,…</t>
  </si>
  <si>
    <t>Te permet de te métamorphoser en un gros animal prédateur: Lion, Tigre, Puma, Crocodile,…</t>
  </si>
  <si>
    <t>Te permet de te métamorphoser en un très gros animal prédateur: Ours, Requin,…</t>
  </si>
  <si>
    <t>Te permet de te métamorphoser en un énorme animal prédateur: Grand Requin Blanc,…</t>
  </si>
  <si>
    <t>Diminue les malus personnage lorsqu’il effectue une attaque de Tir ou de Lancer. -1 pour un succès et de -2 pour une Relance.</t>
  </si>
  <si>
    <t>3 à 10</t>
  </si>
  <si>
    <t>Permet de poser une question et avoir une réponse "probable" sur le futur (3PP: fait mineur; 5PP: fait d'importance; 10PP fait capital)</t>
  </si>
  <si>
    <t>Permet à la cible de se déplacer plus rapidement. Avec un succès, l’Allure est doublée. Avec une Relance, courir devient une AG.</t>
  </si>
  <si>
    <t>Vol permet à un personnage de voler à son Allure (double si 6PP), et de monter à la moitié de cette vitesse (normale si 6PP)</t>
  </si>
  <si>
    <t>Il fait se lever un certain nombre de morts. Avec un succès, les M-V durent 1h, avec une Relance 1d6 h. (Voir Stats p.185)</t>
  </si>
  <si>
    <t>Base 184</t>
  </si>
  <si>
    <t>Base 183</t>
  </si>
  <si>
    <t>Base 182</t>
  </si>
  <si>
    <t>Base 181</t>
  </si>
  <si>
    <t>Base 180</t>
  </si>
  <si>
    <t>Base 179</t>
  </si>
  <si>
    <t>Base 178</t>
  </si>
  <si>
    <t>Base 177</t>
  </si>
  <si>
    <t>Base 175</t>
  </si>
  <si>
    <t>Base 176</t>
  </si>
  <si>
    <t>Base 174</t>
  </si>
  <si>
    <t>Base 172</t>
  </si>
  <si>
    <t>Base 173</t>
  </si>
  <si>
    <t>Base 171</t>
  </si>
  <si>
    <t>Pouvoirs*</t>
  </si>
  <si>
    <t>* Et Atouts des Détérrés</t>
  </si>
  <si>
    <t>Base 187</t>
  </si>
  <si>
    <t>Lorsqu jet d’Intimidation et Relance, Extras Paniqués et Jokers qui lui font face doivent faire un jet sur la Table de Terreur.</t>
  </si>
  <si>
    <t>Augmente ou diminue un des Traits de sa cible d’1 type de dé en cas de réussite, 2 en cas de Relance. (mind4, maxd12 si pas Détérré)</t>
  </si>
  <si>
    <t>jet d’Âme opposé (même si celui-ci s’évanouit). Réussite, récupére 1 (2 avec une Relance) niv. de fatigue ou une blessure si non fatigué.</t>
  </si>
  <si>
    <t>Base 188</t>
  </si>
  <si>
    <t>Décide s’il est tangible ou intangible au début de chacune de ses actions. Il doit rester dans cet état jusqu’à sa prochaine action</t>
  </si>
  <si>
    <t>Subit un dé de dégâts de moins de la part du feu, bien qu’il puisse toujours s’enflammer s’il y est exposé. De plus, s’il réussit un jet d’Âme, il peut attiser ou éteindre un feu à volonté. Sur un Joker, il peut l’éteindre ou le faire exploser.</t>
  </si>
  <si>
    <t>Le personnage gagne des griffes rétractiles surnaturellement acérées qui infligent For + d4 points de dégâts en combat.</t>
  </si>
  <si>
    <t>Griffes</t>
  </si>
  <si>
    <t>Serres</t>
  </si>
  <si>
    <t>Le personnage gagne des griffes rétractiles surnaturellement acérées qui infligent For + d6 points de dégâts en combat.</t>
  </si>
  <si>
    <t>Base 189</t>
  </si>
  <si>
    <t>Si le personnage ne fait rien d’autre que se concentrer pendant 3 rounds, peut convoquer une nuée d’insectes de Gabarit Moyen.</t>
  </si>
  <si>
    <t>Peut faire des jets de Récupération chaque jour s’il consomme une livre de viande à chaque tentative, comme à l’accoutumée.</t>
  </si>
  <si>
    <t>Suture</t>
  </si>
  <si>
    <t>Surjet</t>
  </si>
  <si>
    <t>Peut faire des jets de Récupération chaque heure s’il consomme une livre de viande à chaque tentative, comme à l’accoutumée.</t>
  </si>
  <si>
    <t>+2 à ses jets de Perception lorsqu’il s’agit de remarquer les indices visuels. Ignore les pénalités de pénombre et d’obscurité.</t>
  </si>
  <si>
    <t>Yeux de chat</t>
  </si>
  <si>
    <t>Yeux de lynx</t>
  </si>
  <si>
    <t>Peut voir dans le noir et ignore toutes les pénalités d’éclairage. Peut sentir si un personnage situé à &lt;1m de lui est surnaturel.</t>
  </si>
  <si>
    <t>Sur un jet d’Âme: diminue la température de 8° sur un succès à 16° sur une Relance. Jet de Tripes à -2 pour ceux qui l'expérimentent.</t>
  </si>
  <si>
    <t>1 à 4</t>
  </si>
  <si>
    <t>As isolé</t>
  </si>
  <si>
    <t>Double-Paire</t>
  </si>
  <si>
    <t>5 cartes identiques (requiert un Joker)</t>
  </si>
  <si>
    <t>Autocoptère/ Autogyre</t>
  </si>
  <si>
    <t>Prompt rétablissement/ Elixir de restauration</t>
  </si>
  <si>
    <t>Base E 98</t>
  </si>
  <si>
    <t>Huile d'Oxidation</t>
  </si>
  <si>
    <t>Elixir d'Onctuosité Vocale</t>
  </si>
  <si>
    <t>Sac à dos à réaction/ Propulseur Dorsal</t>
  </si>
  <si>
    <t>Carb.</t>
  </si>
  <si>
    <t>Armures</t>
  </si>
  <si>
    <t>Zone</t>
  </si>
  <si>
    <t>Double- Paire</t>
  </si>
  <si>
    <t>4 cartes identiques + Joker</t>
  </si>
  <si>
    <t>Blancs</t>
  </si>
  <si>
    <t>Bleus</t>
  </si>
  <si>
    <t>Jetons*</t>
  </si>
  <si>
    <t>*Vous pouvez dépenser un jeton pour quelqu'un d'autre mais il faut en mettre un identique dans le chaudron.</t>
  </si>
  <si>
    <t>Comme un Jeton Rouge sauf que la Marshall ne pioche aucun jeton dans le pot. 1 Bleu par action max.</t>
  </si>
  <si>
    <t>Dépenser pour:</t>
  </si>
  <si>
    <t>Faire un jet d'encaissement, récupérer immédiatement d'un état Secoué (même après un jet de Vigueur raté) ou relancer un jet de Trait en gardant le meilleur.</t>
  </si>
  <si>
    <t>Lancer un d6 et d’ajouter son résultat à ton total (il peut faire un As). Annule un échec critique sur un jet de compétence de 1, Le marshal pioche un jeton. 1 Rouge par action max.</t>
  </si>
  <si>
    <t>Comme un jeton bleu mais avec bonus de +2 OU Pour relancer N'IMPORTE quel jet OU Gagner une Prime en fin de partie. 1 Légendaire par action max.</t>
  </si>
  <si>
    <t>DGT</t>
  </si>
  <si>
    <t>Secoué</t>
  </si>
  <si>
    <t>Fatigue</t>
  </si>
  <si>
    <t>Etat Critique</t>
  </si>
  <si>
    <t xml:space="preserve">1     2     3     4     5  </t>
  </si>
  <si>
    <t>9    10    11</t>
  </si>
  <si>
    <t>14     15     16     17</t>
  </si>
  <si>
    <t xml:space="preserve">  18     19 </t>
  </si>
  <si>
    <t>22    23    24   25</t>
  </si>
  <si>
    <t>Flush ou mieux</t>
  </si>
  <si>
    <t>Le sort part avec une Relance</t>
  </si>
  <si>
    <t>Full ou mieux</t>
  </si>
  <si>
    <t>Carré ou mieux</t>
  </si>
  <si>
    <t>Poker ou mieux</t>
  </si>
  <si>
    <t>Comme Flush, Durée X2 (sauf si Instantané)</t>
  </si>
  <si>
    <t>Comme Full, Durée X10 (sauf si Instantané)</t>
  </si>
  <si>
    <t>De As à Quinte</t>
  </si>
  <si>
    <t>Augmente de 1PP de As: 1 PP à Quinte: 6 PP</t>
  </si>
  <si>
    <t>10, valet, dame, roi, as de même couleur</t>
  </si>
  <si>
    <t>+ Ou = à Quinte Flush</t>
  </si>
  <si>
    <t>Mains de Poker et Points de Pouvoir</t>
  </si>
  <si>
    <t>Adhérence</t>
  </si>
  <si>
    <t>3 (1/rd)</t>
  </si>
  <si>
    <t>3 (1/rd) ou 1h (1/h)</t>
  </si>
  <si>
    <t>Confusion</t>
  </si>
  <si>
    <t>1/Cible</t>
  </si>
  <si>
    <t>Lecture des penseés</t>
  </si>
  <si>
    <t>Sommeil</t>
  </si>
  <si>
    <t>Sursaut</t>
  </si>
  <si>
    <t>Permet de manipuler le temps sur une Zone au maximum de Gabarit Petit</t>
  </si>
  <si>
    <t>Chronomanipulation</t>
  </si>
  <si>
    <t>Permet de marcher aux murs et aux plafonds. Succès: peut se déplacer à 1/2 Allure. Relance: Allure normale et peut courir</t>
  </si>
  <si>
    <t>Aveuglement</t>
  </si>
  <si>
    <t>Jet d’Agilité à -2 (ou -4 en cas de Relance). Echec, victime secouée et -2 à sa Parade. Echec critique: Comme échec mais Aveugle tant que Secoué: -6 à tous les tests nécéssitant la vue</t>
  </si>
  <si>
    <t>En cas de succès, une cible doit réussir un jet d’Intellect à-2 ou être Secouée.Si Relance malus à -4.</t>
  </si>
  <si>
    <t>3 à 5</t>
  </si>
  <si>
    <t>Permet de prendre l’apparence (mais pas les capacités) de qqun. Détection: un jet de Perception à -2 (-4 en cas de Relance)</t>
  </si>
  <si>
    <t xml:space="preserve">Jet d’Arcane vs.l’Âme de la cible. Succès: une réponse à une question. La cible se rend compte de l’utilisation sauf si Relance. </t>
  </si>
  <si>
    <t>Détection des Arcanes</t>
  </si>
  <si>
    <t>Dissimulation des Arcanes</t>
  </si>
  <si>
    <t>Détecte les créatures invisibles, les personnes et les objets enchantés, la Science étrange, les activités des hucksters,…</t>
  </si>
  <si>
    <t>Cache les créatures surnaturelles, les effets des personnes et les objets enchantés, la Science étrange, les activités des hucksters,…</t>
  </si>
  <si>
    <t>Ralentissement</t>
  </si>
  <si>
    <t>3 (2/rd)</t>
  </si>
  <si>
    <t>Jet Arcane vs. Âme. Succès: mvmt=action: pénalité action multiple pour atk même round. Relance: retire tte carte Initiative&gt;10 (sauf jokers)</t>
  </si>
  <si>
    <t>Ravage</t>
  </si>
  <si>
    <t>Siphon d'énergie</t>
  </si>
  <si>
    <t xml:space="preserve">Jet d’Arcane opposé. (-2 si la cible utilise un type d’Arcane différent). Succès: draine 1d6+1 PP (1d8+2 avec une Relance). Ces jets ne font pas d’As. </t>
  </si>
  <si>
    <t>Gabarit Moyen et d’Arcane.Toutes les créature vivantes (pas M-V ni automates) réussir un jet d’Âme (-2 si Relance) ou endormis.</t>
  </si>
  <si>
    <t>Zone de dégâts</t>
  </si>
  <si>
    <t>Touche-à-Tout</t>
  </si>
  <si>
    <t>Intellect d10</t>
  </si>
  <si>
    <t>Chaque fois qu’il doit faire un jet par défaut sur une compétence dérivant d’Intellect, il lance un d4  au lieu du d4-2 ordinaire</t>
  </si>
  <si>
    <t>Savage World Web 66</t>
  </si>
  <si>
    <t>Chaque fois qu’il doit faire un jet par défaut sur une compétence dérivant de Connaissances, il lance 1d4  s'il n'a pas la Concentration adéquate.</t>
  </si>
  <si>
    <t>Joker, Expert</t>
  </si>
  <si>
    <t>Carabine Joslyn</t>
  </si>
  <si>
    <t>Fusil Chassepot</t>
  </si>
  <si>
    <t>Fusil Krnka</t>
  </si>
  <si>
    <t>.617R</t>
  </si>
  <si>
    <t>Volley Gun Wallis&amp;Hull</t>
  </si>
  <si>
    <t>Fusil Martini-Henry</t>
  </si>
  <si>
    <t>Fusil Comblain</t>
  </si>
  <si>
    <t>4d18</t>
  </si>
  <si>
    <t>Springfield</t>
  </si>
  <si>
    <t>Springfield Trapdoor</t>
  </si>
  <si>
    <t>Fusil Wiggan &amp; Elliott</t>
  </si>
  <si>
    <t>4d8-2</t>
  </si>
  <si>
    <t>2d8-2</t>
  </si>
  <si>
    <t>Fusil Westley Richards BAR</t>
  </si>
  <si>
    <t>.776</t>
  </si>
  <si>
    <t>.617</t>
  </si>
  <si>
    <t>4d10+2</t>
  </si>
  <si>
    <t>2d10+2</t>
  </si>
  <si>
    <t>Dolne "Coup de poing"</t>
  </si>
  <si>
    <t>Poing Am.</t>
  </si>
  <si>
    <t>Eclipse</t>
  </si>
  <si>
    <t>Stylet/ Aiguille à cheveux</t>
  </si>
  <si>
    <t>déCombat</t>
  </si>
  <si>
    <t>Médecine Tribale</t>
  </si>
  <si>
    <t>Arcanes Reloaded</t>
  </si>
  <si>
    <t>Chaman</t>
  </si>
  <si>
    <t>PP départ</t>
  </si>
  <si>
    <t>Pou. Départ</t>
  </si>
  <si>
    <t>Compétence</t>
  </si>
  <si>
    <t>Magie</t>
  </si>
  <si>
    <t>Nb.</t>
  </si>
  <si>
    <t>Récup</t>
  </si>
  <si>
    <t>Magie du sang</t>
  </si>
  <si>
    <t>Chi</t>
  </si>
  <si>
    <t>Anahuac</t>
  </si>
  <si>
    <t>Aucune</t>
  </si>
  <si>
    <t>Sc. Folle</t>
  </si>
  <si>
    <t>Permet au héros d’apprendre un nouveau pouvoir. Il en choisit un parmi tous ceux disponibles pour son Arcane.</t>
  </si>
  <si>
    <t>New Pouvoir</t>
  </si>
  <si>
    <t>26     27     28</t>
  </si>
  <si>
    <t>Ton héros récupère 1 Points de Pouvoir toutes les 5 minutes.</t>
  </si>
  <si>
    <t>Récup. PP</t>
  </si>
  <si>
    <t>Un petit animal (chat, chien, corbeau) a un lien avec le Huckster. Il peut servir de point de départ d'un sort à la place de celui-ci (sauf les sorts personnels)</t>
  </si>
  <si>
    <t>L’apprentissage d’un nouveau pouvoir se fait seulement avec la moitié du temps requis. Tu réussis à en découvrir de nouveaux par toi-même sans aide extérieure ni traité de jeux.</t>
  </si>
  <si>
    <t>Comme Carré mais peut interrompre et réutiliser 24h</t>
  </si>
  <si>
    <t>Charisme réduit de 1: Une Mauvaise habitude Mineure irrite son entourage mais n’est pas dangereuse.</t>
  </si>
  <si>
    <t>Un héros privé de sa dose fait un jet de fatigue toutes les 24 h. Le premier jet manqué le rend Fatigué, puis Exténué pour finir en Coma ou en troubles du comportement pendant 1d6 jours en absence de Soins.</t>
  </si>
  <si>
    <t>Calc Charisme</t>
  </si>
  <si>
    <t>Calc Allure</t>
  </si>
  <si>
    <t>Calc Parade</t>
  </si>
  <si>
    <t>Calc Résistance</t>
  </si>
  <si>
    <t>Dans un duel, ton héros pioche une carte supplémentaire pour chaque point de Trempe qu’il  possède. Les règles du duel se trouvent à la page 136</t>
  </si>
  <si>
    <t>Dans un duel, ton héros pioche une carte supplémentaire pour chaque point de Trempe qu’il  possède.</t>
  </si>
  <si>
    <t>CalcTrempe</t>
  </si>
  <si>
    <t>max</t>
  </si>
  <si>
    <t>Calc PP</t>
  </si>
  <si>
    <t>Peut utiliser des pouvoirs en utilisant l’aptitude de maitrise chi. Pour cela il doit acheter chaque pouvoir séparément comme autant de compétences distinctes.</t>
  </si>
  <si>
    <t>+2 à tous ses jets de Perception pour regarder, détecter, scruter et pister le monde qui l’entoure. (Pas entendre, ni goûter, sentir au toucher)</t>
  </si>
  <si>
    <t>Ton héros a vraiment beaucoup de charme ou est vraiment très beau. Son Charisme est augmenté de 4.</t>
  </si>
  <si>
    <t>Une fois par session, il peut dépenser un Jeton blanc ou rouge comme si c’était un Jeton bleu.</t>
  </si>
  <si>
    <t>Le personnage peut avaler n’importe quoi sans souffrir: réduit le cran de gravité de un (en dehors des poisons mortels).</t>
  </si>
  <si>
    <t>Connait un nombre de langues égal à son Intellect sans surcoût, et peut pendant 24h faire un jet d’Intellect à -4 pour se faire comprendre en n’importe quel langage qu’il a côtoyé pendant au moins une semaine.</t>
  </si>
  <si>
    <t>À chaque fois qu’on utilise un Jeton en sa présence, il peut se défausser d’un Jeton de la même puissance ou plus forte pour en annuler les effets</t>
  </si>
  <si>
    <t>Cuir</t>
  </si>
  <si>
    <t>Chaines</t>
  </si>
  <si>
    <t>Tôle/Plaques</t>
  </si>
  <si>
    <t>Matière</t>
  </si>
  <si>
    <t>Kevlar</t>
  </si>
  <si>
    <t>+2/+4 (balles)</t>
  </si>
  <si>
    <t>+3</t>
  </si>
  <si>
    <t>+1</t>
  </si>
  <si>
    <t>Bois laqué</t>
  </si>
  <si>
    <t>Savage World</t>
  </si>
  <si>
    <t>Famille Etendue</t>
  </si>
  <si>
    <t>Archéologie</t>
  </si>
  <si>
    <t>Loi et Droit</t>
  </si>
  <si>
    <t>Journalisme</t>
  </si>
  <si>
    <t>Stratégie</t>
  </si>
  <si>
    <t>Ingéniérie</t>
  </si>
  <si>
    <t>PIQUE</t>
  </si>
  <si>
    <t>CŒUR</t>
  </si>
  <si>
    <t>CARREAU</t>
  </si>
  <si>
    <t>TREFLE</t>
  </si>
  <si>
    <t>Porte-poisse</t>
  </si>
  <si>
    <t>Porte-mort</t>
  </si>
  <si>
    <t>Porte-malheur</t>
  </si>
  <si>
    <t>Porteur-cible</t>
  </si>
  <si>
    <t>Pourchassé</t>
  </si>
  <si>
    <t>Harcelé</t>
  </si>
  <si>
    <t>Dette d'état</t>
  </si>
  <si>
    <t>Dette communautaire</t>
  </si>
  <si>
    <t>Dette de fer</t>
  </si>
  <si>
    <t>Dette de sang</t>
  </si>
  <si>
    <t>Brisé</t>
  </si>
  <si>
    <t>Affamé</t>
  </si>
  <si>
    <t>Terreurs nocturnes</t>
  </si>
  <si>
    <t>Passé violent</t>
  </si>
  <si>
    <t>Coup de vieux</t>
  </si>
  <si>
    <t>Rhumatismes</t>
  </si>
  <si>
    <t>Canard boiteux</t>
  </si>
  <si>
    <t>Énucléé</t>
  </si>
  <si>
    <t>Empathie agonisante</t>
  </si>
  <si>
    <t>Assourdi</t>
  </si>
  <si>
    <t>Hallucinations</t>
  </si>
  <si>
    <t>Parano</t>
  </si>
  <si>
    <t>Raciste</t>
  </si>
  <si>
    <t>Noirceur d'âme</t>
  </si>
  <si>
    <t>Porteur de désespoir</t>
  </si>
  <si>
    <t>Force maléfique</t>
  </si>
  <si>
    <t>Main noire</t>
  </si>
  <si>
    <t>Serment</t>
  </si>
  <si>
    <t>Susceptibilité surnaturelle</t>
  </si>
  <si>
    <t>Aura malveillante</t>
  </si>
  <si>
    <t>Souillure</t>
  </si>
  <si>
    <t>Hurlements</t>
  </si>
  <si>
    <t>Ce flingueur a fait une sieste salissante il y a peu. La différence entre lui et la plupart des gens, c’est qu’il s’est relevé. Le héros est un Déterré (selon les informations disponibles dans le Coin du Gang et le No Man’s Land) mais il ne le sait pas. Ne le laisse pas choisir son premier Atout de Déterré avant qu’il ne découvre la sinistre vérité.</t>
  </si>
  <si>
    <r>
      <t xml:space="preserve">Le vétéran a fait une bêtise, une grosse bêtise. Il est recherché par un des groupes les plus puissants du Weird West (un Baron du Rail, les Texas Rangers, l'armée de l'Union...). Le personnage hérite du handicap </t>
    </r>
    <r>
      <rPr>
        <b/>
        <sz val="9"/>
        <rFont val="Arial"/>
        <family val="2"/>
      </rPr>
      <t>Recherché (Majeur)</t>
    </r>
    <r>
      <rPr>
        <sz val="9"/>
        <rFont val="Arial"/>
        <family val="2"/>
      </rPr>
      <t>.</t>
    </r>
  </si>
  <si>
    <r>
      <t xml:space="preserve">Le personnage voudrait oublier ce qu’il a vu. Il a une </t>
    </r>
    <r>
      <rPr>
        <b/>
        <sz val="9"/>
        <color theme="1"/>
        <rFont val="Arial"/>
        <family val="2"/>
      </rPr>
      <t>Mauvaise habitude (Majeure)</t>
    </r>
    <r>
      <rPr>
        <sz val="9"/>
        <color theme="1"/>
        <rFont val="Arial"/>
        <family val="2"/>
      </rPr>
      <t xml:space="preserve"> concernant l’alcool ou une drogue comme l’opium ou le peyotl.</t>
    </r>
  </si>
  <si>
    <r>
      <t xml:space="preserve">Le personnage a combattu une créature de l'ouest sauvage et depuis ce jour, le goût de ce combat hante le héros. Il est obnubilé par cette créature et fera tout pour remettre ça. Il traque la moindre info suceptible de mener à elle. Il a le handicap </t>
    </r>
    <r>
      <rPr>
        <b/>
        <sz val="9"/>
        <color theme="1"/>
        <rFont val="Arial"/>
        <family val="2"/>
      </rPr>
      <t>Serment (Mineur)</t>
    </r>
    <r>
      <rPr>
        <sz val="9"/>
        <color theme="1"/>
        <rFont val="Arial"/>
        <family val="2"/>
      </rPr>
      <t>.</t>
    </r>
  </si>
  <si>
    <r>
      <t>Le cow-boy a passé trop de temps avec une arme dans les mains et il porte avec lui le sang de ses victimes. Il a décidé de ne plus jamais tuer de sang froid, ce qui lui inflige le Handicap</t>
    </r>
    <r>
      <rPr>
        <b/>
        <sz val="9"/>
        <color theme="1"/>
        <rFont val="Arial"/>
        <family val="2"/>
      </rPr>
      <t xml:space="preserve"> Pacifiste mineur</t>
    </r>
    <r>
      <rPr>
        <b/>
        <sz val="9"/>
        <color theme="1"/>
        <rFont val="Arial"/>
        <family val="2"/>
      </rPr>
      <t>.</t>
    </r>
  </si>
  <si>
    <r>
      <t xml:space="preserve">Une rencontre avec une créature surnaturelle a laissé l’un des bras du héros mutilé, voire entièrement amputé. Il a perdu sa main non-directrice et a le handicap </t>
    </r>
    <r>
      <rPr>
        <b/>
        <sz val="9"/>
        <rFont val="Arial"/>
        <family val="2"/>
      </rPr>
      <t>Manchot</t>
    </r>
    <r>
      <rPr>
        <sz val="9"/>
        <rFont val="Arial"/>
        <family val="2"/>
      </rPr>
      <t xml:space="preserve">.
</t>
    </r>
    <r>
      <rPr>
        <sz val="9"/>
        <color rgb="FF7030A0"/>
        <rFont val="Arial"/>
        <family val="2"/>
      </rPr>
      <t/>
    </r>
  </si>
  <si>
    <r>
      <t>Le corps du personnage commence sérieusement à s'enrayer. Il est soumis à un malus de -1 à tout jet d'attributs Agilité, Force ou Vigueur. Cela ne concerne pas les compétences qui y sont rattachées.</t>
    </r>
    <r>
      <rPr>
        <sz val="9"/>
        <color theme="3" tint="0.39997558519241921"/>
        <rFont val="Arial"/>
        <family val="2"/>
      </rPr>
      <t/>
    </r>
  </si>
  <si>
    <r>
      <rPr>
        <sz val="9"/>
        <rFont val="Arial"/>
        <family val="2"/>
      </rPr>
      <t xml:space="preserve">Une rencontre avec une créature surnaturelle a laissé l’une des jambes du héros mutilé, voire entièrement amputée. Il a le handicap </t>
    </r>
    <r>
      <rPr>
        <b/>
        <sz val="9"/>
        <rFont val="Arial"/>
        <family val="2"/>
      </rPr>
      <t>Boiteux</t>
    </r>
    <r>
      <rPr>
        <sz val="9"/>
        <rFont val="Arial"/>
        <family val="2"/>
      </rPr>
      <t>.</t>
    </r>
  </si>
  <si>
    <r>
      <t xml:space="preserve">L’une des abominations que ce héros malchanceux a croisées lui a réarrangé la face ou une autre partie visible de son corps. Il devient </t>
    </r>
    <r>
      <rPr>
        <b/>
        <sz val="9"/>
        <color theme="1"/>
        <rFont val="Arial"/>
        <family val="2"/>
      </rPr>
      <t>Moche</t>
    </r>
    <r>
      <rPr>
        <sz val="9"/>
        <color theme="1"/>
        <rFont val="Arial"/>
        <family val="2"/>
      </rPr>
      <t xml:space="preserve"> lorsque la blessure est exposée.</t>
    </r>
  </si>
  <si>
    <r>
      <t xml:space="preserve">L’une des abominations que ce héros malchanceux a croisées lui a réarrangé la face. Il a le handicap </t>
    </r>
    <r>
      <rPr>
        <b/>
        <sz val="9"/>
        <color theme="1"/>
        <rFont val="Arial"/>
        <family val="2"/>
      </rPr>
      <t>Borgne.</t>
    </r>
  </si>
  <si>
    <r>
      <t xml:space="preserve">Le personnage s'est retrouvé au beau milieu d'une explosion de machine infernale remplie de roche fantôme. Contre toute attente il a survécu mais ce ne fut pas sans séquelle il a perpétuellement l'impression d'entendre un curieux bourdonnement ou un sifflement pénible dans le creux de son oreille... Il hérite du handicap </t>
    </r>
    <r>
      <rPr>
        <b/>
        <sz val="9"/>
        <rFont val="Arial"/>
        <family val="2"/>
      </rPr>
      <t>Dur de la feuille (Mineur)</t>
    </r>
    <r>
      <rPr>
        <sz val="9"/>
        <rFont val="Arial"/>
        <family val="2"/>
      </rPr>
      <t>.</t>
    </r>
    <r>
      <rPr>
        <sz val="9"/>
        <color rgb="FFFF0000"/>
        <rFont val="Arial"/>
        <family val="2"/>
      </rPr>
      <t/>
    </r>
  </si>
  <si>
    <r>
      <t>Le personnage a vécu une sale expérience avec une communaut</t>
    </r>
    <r>
      <rPr>
        <sz val="9"/>
        <rFont val="Arial"/>
        <family val="2"/>
      </rPr>
      <t xml:space="preserve">é du Weird West. Il les déteste viscéralement au-delà de toute raison et il fera tout pour leur nuire. Il gagne le handicap </t>
    </r>
    <r>
      <rPr>
        <b/>
        <sz val="9"/>
        <rFont val="Arial"/>
        <family val="2"/>
      </rPr>
      <t>Rancunier (Majeur)</t>
    </r>
    <r>
      <rPr>
        <sz val="9"/>
        <rFont val="Arial"/>
        <family val="2"/>
      </rPr>
      <t>.</t>
    </r>
  </si>
  <si>
    <r>
      <rPr>
        <sz val="9"/>
        <rFont val="Arial"/>
        <family val="2"/>
      </rPr>
      <t xml:space="preserve">Ce héros a été endurci par toutes les horreurs qu'il a pu voir. Et ça a souillé son âme. Il ne fera jamais de prisonnier et se rendre n'est pas pour lui une option envisageable. Il est soumis au handicap </t>
    </r>
    <r>
      <rPr>
        <b/>
        <sz val="9"/>
        <rFont val="Arial"/>
        <family val="2"/>
      </rPr>
      <t>Sanguinaire</t>
    </r>
    <r>
      <rPr>
        <sz val="9"/>
        <rFont val="Arial"/>
        <family val="2"/>
      </rPr>
      <t>. Qui sait jusqu'où cette noirceur va le conduire et ce qui l'inspire réellement...</t>
    </r>
    <r>
      <rPr>
        <b/>
        <sz val="9"/>
        <color rgb="FFFF0000"/>
        <rFont val="Arial"/>
        <family val="2"/>
      </rPr>
      <t/>
    </r>
  </si>
  <si>
    <r>
      <t xml:space="preserve">La dernière créature avec laquelle cet hombre s’est colleté lui a laissé une marque qui ne partira pas. Le héros a une sorte de blessure qui lui inflige le Handicap </t>
    </r>
    <r>
      <rPr>
        <b/>
        <sz val="9"/>
        <color theme="1"/>
        <rFont val="Arial"/>
        <family val="2"/>
      </rPr>
      <t>Souffrant (Majeur).</t>
    </r>
  </si>
  <si>
    <r>
      <t xml:space="preserve">Ton héros a fait une rencontre exceptionnelle avec un groupe ou un esprit. Cela a bouleversé ses convictions au point qu'il lui a prêté Serment. Le personnage récupère le handicap </t>
    </r>
    <r>
      <rPr>
        <b/>
        <sz val="9"/>
        <color theme="1"/>
        <rFont val="Arial"/>
        <family val="2"/>
      </rPr>
      <t>Serment (Majeur).</t>
    </r>
  </si>
  <si>
    <t>Peut acheter jusqu’à deux pouvoirs supplémentaires, mais doit tirer un résultat sur la table de Vétéran du Weird West en échange.</t>
  </si>
  <si>
    <t>Vétéran WW</t>
  </si>
  <si>
    <r>
      <t>Le personnage sème la mort partout où il passe. Le personnage hérite du handicap</t>
    </r>
    <r>
      <rPr>
        <b/>
        <sz val="9"/>
        <rFont val="Arial"/>
        <family val="2"/>
      </rPr>
      <t xml:space="preserve"> Larbin de la Faucheuse/ Sinistre Serviteur de la Mort</t>
    </r>
  </si>
  <si>
    <t>Ecran épique 2</t>
  </si>
  <si>
    <t>Ecran épique 3</t>
  </si>
  <si>
    <t>Ecran épique 4</t>
  </si>
  <si>
    <t>Convocation d'Allié (Novice)</t>
  </si>
  <si>
    <t>Convocation d'Allié (Aguerri)</t>
  </si>
  <si>
    <t>Convocation d'Allié (Vétéran)</t>
  </si>
  <si>
    <t>Convocation d'Allié (Héroïque)</t>
  </si>
  <si>
    <t>Permet de convoquer un animal loyal et obéissant. Si Relance il a la capacité Résistant.: Chien, Loup, Cerf,…</t>
  </si>
  <si>
    <t>Permet de convoquer un  gros prédateur loyal et obéissant. Si Relance il a la capacité Résistant. : Lion, Tigre, Puma, Crocodile,…</t>
  </si>
  <si>
    <t>Permet de convoquer un animal petit loyal et obéissant. Si Relance il a la capacité Résistant.l: Faucon, Corbeau, Carpe, Grenouille,…</t>
  </si>
  <si>
    <t>Permet de convoquer un  très gros prédateur loyal et obéissant. Si Relance il a la capacité Résistant:  Ours, Requin,…</t>
  </si>
  <si>
    <t>Permet de convoquer un  très gros prédateur loyal et obéissant. Si Relance il a la capacité Résistant: Grand Requin Blanc,…</t>
  </si>
  <si>
    <t>Ecran épique 5</t>
  </si>
  <si>
    <t>Déluge de coups</t>
  </si>
  <si>
    <t>Gabarit moyen: jet de Force (-2 si Relance). Echec: victime éjectée de 2d6 cases, en arrière et se retrouve au sol. Si une heurte un objet Secouée</t>
  </si>
  <si>
    <t>Croissance</t>
  </si>
  <si>
    <t>2+</t>
  </si>
  <si>
    <t>Augmente la taille de 1 par tranche de 2PP. Chaque augmentation améliore le jet dé de Force d'un type et +1 en Résistance.</t>
  </si>
  <si>
    <t>Rapetissement</t>
  </si>
  <si>
    <t>Diminue la taille de 1 par tranche de 2PP. Chaque diminution améliore le jet dé de Force d'un type et +1 en Résistance.</t>
  </si>
  <si>
    <t>Don du guerrier</t>
  </si>
  <si>
    <t>Convocation d'Allié (Légendaire)</t>
  </si>
  <si>
    <t>Avec un succès gagne temporairement un atout de Combat d'un rang inférieur au rang. Aucun effet si la cible a déjà cet atout.</t>
  </si>
  <si>
    <t>Ecran épique 6</t>
  </si>
  <si>
    <t>Ecran épique 11</t>
  </si>
  <si>
    <t>Tte cible dans le cône: jet de Force (-2 si Relance). Echec: victime éjectée de 2d6 cases, en arrière et se retrouve au sol. Si une heurte un objet Secouée</t>
  </si>
  <si>
    <t>Ecran épique 12</t>
  </si>
  <si>
    <t>Vision lointaine</t>
  </si>
  <si>
    <t>Avec un succès, divise par deux les pénalités dues à l'obscurité. Avec une Relance ignore ces pénalités jusqu'à -6</t>
  </si>
  <si>
    <t>Ecran épique 15</t>
  </si>
  <si>
    <t>Avec un succès divise par 2 les malus de distances sur les attaques. Avec une relance double la portée d'une arme.</t>
  </si>
  <si>
    <t>Ecran épique 16</t>
  </si>
  <si>
    <t>Immunisé contre toute Terreur contre une "famille" de créatures comme fantômes, loups-garous, sasquathchs vampires,… y compris le Pouvoir Terreur d'une telle créature.</t>
  </si>
  <si>
    <t>Stone Cold Dead guide 4</t>
  </si>
  <si>
    <t>Enfant de la destinée</t>
  </si>
  <si>
    <t>Pioche une carte d'aventure en plus par session de jeu (si les cartes d'aventure sont utilisées par le Marshal)</t>
  </si>
  <si>
    <t>Booster d'adrénalise</t>
  </si>
  <si>
    <t>GJSCD 5</t>
  </si>
  <si>
    <t>Tonic Désaoulant</t>
  </si>
  <si>
    <t xml:space="preserve">Tablette/ Pilule d'Air Deshydraté </t>
  </si>
  <si>
    <t>Pilule de Rapidité Fulgurante</t>
  </si>
  <si>
    <t>Pellet de Fumée</t>
  </si>
  <si>
    <t>Comprimé d'affiablissement de mémoire</t>
  </si>
  <si>
    <t>Intangibilité/ Spectral/ Fantôme</t>
  </si>
  <si>
    <t>3 rd (2/rd)</t>
  </si>
  <si>
    <t>Bouclier d'Arcane</t>
  </si>
  <si>
    <t>Octroie l’Atout Résistance aux  Arcanes à la cible du sort, ou l’Atout Grande Résistance aux Arcanes avec une Relance.</t>
  </si>
  <si>
    <t>Nouveaux pouvoirs 2</t>
  </si>
  <si>
    <t>Clairvoyance</t>
  </si>
  <si>
    <t>Permet au lanceur de voir au delà de ce qu’il peut normalement voir. Succès= portée = Int x 2, chaque Relance double cette distance.</t>
  </si>
  <si>
    <t>Dépeçage</t>
  </si>
  <si>
    <t>Jet d’Arcane vs. Vigueur de sa cible. -2 contre les M-V. Succès: inflige  1d10 dégâts, + 1d10/Relance (max 5d10).</t>
  </si>
  <si>
    <t>Nouveaux pouvoirs 3</t>
  </si>
  <si>
    <t>Peut créer des images illusoire capable d’affecter un sens et tte personne se trouvant à proximité.Voir détail. Détection: Perception vs Arcane.</t>
  </si>
  <si>
    <t>Nouveaux pouvoirs 4</t>
  </si>
  <si>
    <t>Fantasmes/ Illusion</t>
  </si>
  <si>
    <t>Paralysie</t>
  </si>
  <si>
    <t>Jet d’Arcane opposé à un jet d’Âme de la cible. Succès, la cible est immobilisée et sans défense pour la durée du pouvoir.</t>
  </si>
  <si>
    <t>Nouveaux pouvoirs 6</t>
  </si>
  <si>
    <t>Nouveaux pouvoirs 5</t>
  </si>
  <si>
    <t>Préssentiment</t>
  </si>
  <si>
    <t>Sanctification/ Désacralisation</t>
  </si>
  <si>
    <t>Vision dans le noir/ Seconde Vue</t>
  </si>
  <si>
    <t>Secousse</t>
  </si>
  <si>
    <t>Grand Gabarit. Doit réussir un jet d’Agilité subir 2d10 dégâts. Affecte les bâtiments.</t>
  </si>
  <si>
    <t>Nouveaux pouvoirs 8</t>
  </si>
  <si>
    <t>Silence</t>
  </si>
  <si>
    <t>Ce pouvoir crée une zone de silence absolu sur un Grand Gabarit. Aucun son ne peut être émis ou perçu dans cette zone.</t>
  </si>
  <si>
    <t>Nouveaux pouvoirs 9</t>
  </si>
  <si>
    <t>Tour de Magie</t>
  </si>
  <si>
    <t>Crée un effet magique mineur: nettoyer des vêtements, soulever de petites  charges, saler de la nourriture, faire écrire une plume, sonner des clochettes ou éternuer quelqu’un, changer les couleurs d’un objet,…</t>
  </si>
  <si>
    <t>Marche Sauvage/ Voies de la Nature</t>
  </si>
  <si>
    <t>Dépend du jeton utilisé: Blanc : Peut utiliser le Pouvoir Marche Sauvage. Rouge: Peut utiliser le Pouvoir Guérison avec des cataplasmes. Bleu: Peut utiliser le Pouvoir Ami des Bêtes.</t>
  </si>
  <si>
    <t>Télépathie</t>
  </si>
  <si>
    <t>Permet de communiquer mentalement avec d’autres personnes des pensées et images uniquement. Voir détail.</t>
  </si>
  <si>
    <t>Supprime un niveau de Fatigue si un Test de Vigeur est réussi. Si relance: 2 niveaux.</t>
  </si>
  <si>
    <t>+1 cumulatif à tous les jets de Tripes et Terreur. Cumulatif avec Peur de rien/ Brave</t>
  </si>
  <si>
    <t>Avec cette arme il gagne +1 cumulatif à ses jets de Tir ou de Combat</t>
  </si>
  <si>
    <t>+Xd4 aux dommages au corps à corps du personnage, X étant la valeur de sa plus haute pénalité de blessure</t>
  </si>
  <si>
    <t>Intellect d8, Réparation d8</t>
  </si>
  <si>
    <t>Atouts Solomon Kane</t>
  </si>
  <si>
    <t>Mur d'acier</t>
  </si>
  <si>
    <t>Florentine, Perception d8</t>
  </si>
  <si>
    <t>Les adversaires ne gagnent pas de bonus lorsqu'ils s'attaquent à plusieurs contre vous</t>
  </si>
  <si>
    <t>Arcanes (Science folle), Connaissance ou Sciences (Alchimie et Chimie) d8+</t>
  </si>
  <si>
    <t>Le personnage ne fréquente pas certaines personnes: -1 en Charisme lorsqu'il est exposé à cette autre culture ou manière de penser.</t>
  </si>
  <si>
    <t>Le personnage ne fréquente pas certaines personnes: -2 en Charisme lorsqu'il est exposé à cette autre culture ou manière de penser.</t>
  </si>
  <si>
    <t>Le personnage ne fréquente pas certaines personnes: -4 en Charisme lorsqu'il est exposé à cette autre culture ou manière de penser.</t>
  </si>
  <si>
    <t>+2 aux jets pour créer et réparer des armes à feu, grenades, bombes à poudre, balles et autres munitions (ne nécéssitant PAS de roche fantôme)</t>
  </si>
  <si>
    <t>La médecine tribale et les miracles ne fonctionnent pas sur lui, contrairement aux sortilèges, à la Science folle et à la magie noire. La magie noire et les maléfices sont même renforcés.</t>
  </si>
  <si>
    <t>Réduisez de manière cumulative son Allure de 1. Cumulable avec Boiteux.</t>
  </si>
  <si>
    <t>Réduit l’Allure de manière cumulative de 1 point, pour un minimum de 2 points</t>
  </si>
  <si>
    <t>Résistance est réduite de 1 à cause de sa petite taille,  le type de dé de sa Force ne peut dépasser le d10.</t>
  </si>
  <si>
    <t>Chaque fois qu'il fait appel à un pouvoir Chi, cela déclenche des effets spéciaux très voyants. Bonus de +8 en Perception à toute personne qui tente de déterminer si tu lances un sort.</t>
  </si>
  <si>
    <t>Les abominations ont une curieuse envie d'en découdre avec le personnage. Si elles ont le choix entre plusieurs cibles, elles choisissent toujours le personnage en premier.</t>
  </si>
  <si>
    <t>La résistance du personnage aux effets magiques néfastes est très mauvaise. Les sorts hostiles lancés sur le personnage agissent avec un bonus de +2 aux dégâts ou comme s'ils avaient été lancés avec un degré pour les sorts n'infligeant pas de dommages. Le personnage subit aussi un malus de -2 pour résister aux effets de ces pouvoirs.</t>
  </si>
  <si>
    <t xml:space="preserve">Les PNJs ont toujours une attitude plus négative d'un cran qu'ils ne devraient l'avoir. Toute action ou jet de compétences sociales subit une pénalité de -2. Sur un 1 au dé de compétence la situation vire au drame  </t>
  </si>
  <si>
    <r>
      <t xml:space="preserve">Le personnage a glané au cour de ses périples une malédiction qui l'empêche d'être accepté et de vivre parmi les siens. Le personnage récupère le handicap </t>
    </r>
    <r>
      <rPr>
        <b/>
        <sz val="9"/>
        <color theme="1"/>
        <rFont val="Arial"/>
        <family val="2"/>
      </rPr>
      <t>Banni</t>
    </r>
    <r>
      <rPr>
        <sz val="9"/>
        <color theme="1"/>
        <rFont val="Arial"/>
        <family val="2"/>
      </rPr>
      <t>.</t>
    </r>
  </si>
  <si>
    <r>
      <t xml:space="preserve">Il y a longtemps de cela, ce cavalier solitaire fit quelque chose d’atroce pour survivre à sa rencontre avec le surnaturel. Depuis, le monde des esprit ne l’aide plus. Le personnage hérite du Handicap </t>
    </r>
    <r>
      <rPr>
        <b/>
        <sz val="9"/>
        <color theme="1"/>
        <rFont val="Arial"/>
        <family val="2"/>
      </rPr>
      <t>Damné</t>
    </r>
    <r>
      <rPr>
        <sz val="9"/>
        <color theme="1"/>
        <rFont val="Arial"/>
        <family val="2"/>
      </rPr>
      <t>.</t>
    </r>
  </si>
  <si>
    <t>Canoe</t>
  </si>
  <si>
    <t>Cariole</t>
  </si>
  <si>
    <t>Kayak</t>
  </si>
  <si>
    <t>Parka</t>
  </si>
  <si>
    <t>Skiff</t>
  </si>
  <si>
    <t>Raquettes</t>
  </si>
  <si>
    <t>Sabots</t>
  </si>
  <si>
    <t>Outils d'artisan (élagueur)</t>
  </si>
  <si>
    <t>(Indian) Coyote Confederation</t>
  </si>
  <si>
    <t>(Indian) Cree Confederation</t>
  </si>
  <si>
    <t>(Indian) Blackfoot Confederation</t>
  </si>
  <si>
    <t>Protestantisme (Anglicanistes)</t>
  </si>
  <si>
    <t>Catholicisme (Romain)</t>
  </si>
  <si>
    <t>(UK Canadian Dominion) Nova Scotia</t>
  </si>
  <si>
    <t>(UK Canadian Dominion) New Brunswick</t>
  </si>
  <si>
    <t>(UK Canadian Dominion) Ontario</t>
  </si>
  <si>
    <t>(UK Canadian Dominion) Quebec</t>
  </si>
  <si>
    <t>(UK Canadian Dominion) Alberta</t>
  </si>
  <si>
    <t>(UK Canadian Dominion) British Columbia</t>
  </si>
  <si>
    <t>(UK Canadian Dominion) Manitoba</t>
  </si>
  <si>
    <t>(UK Canadian Dominion) Newfoundland and Labrador</t>
  </si>
  <si>
    <t>(UK Canadian Dominion) Prince Edward Island</t>
  </si>
  <si>
    <t>(UK Canadian Dominion) Saskatchewan</t>
  </si>
  <si>
    <t>Compas de Berring</t>
  </si>
  <si>
    <t>Cane de Baranof</t>
  </si>
  <si>
    <t>Ne peut jamais se perdre au Canada ni en Alsaka, connait toujours le nord et +4 pour se diriger/ Handicap Curieux: exploration du monde</t>
  </si>
  <si>
    <t>Le porteur de la canne peut être Etourdi, Fatigué ou Secoué mais n'en subit aucun désagrément/ Handicap: Ambition Forte: réussir à tout prix</t>
  </si>
  <si>
    <t>Cape des Ombres</t>
  </si>
  <si>
    <t>Si Détérré: n'a pas besoin de munitions, fait 4d6 dégâts, bonus de +2 pour Dégainer et en Persuasion/ Handicaps: Méchant comme une teigne, Sanguinaire, Revanchard.</t>
  </si>
  <si>
    <t>+8 à tous les tests por se dissimuler dans la nuit ou l'obscurité uniquement/ Handicap: Intolérant/ Chauvin  (fortemment) contre tous les Européens</t>
  </si>
  <si>
    <t>Défense du Morse</t>
  </si>
  <si>
    <t>TGWN 125</t>
  </si>
  <si>
    <t>TGWN 124</t>
  </si>
  <si>
    <t>Vicaire de Wakefield</t>
  </si>
  <si>
    <t>Pipe de Persuasion</t>
  </si>
  <si>
    <t>Tant que le porteur la fume: +6 à tous les tests de Persuasion, Charisme et Commandement./ Risque de contracter: Malade/Souffrant (mortel): cancer du poumon</t>
  </si>
  <si>
    <t>TGWN 126</t>
  </si>
  <si>
    <t>Ceinture de Miche</t>
  </si>
  <si>
    <t>Le ceinture peut s'étirer et se rétracter sur demande jusqu'à 12m sans l'endommager/ Handicap: Intolérant/ Chauvin  (fortemment): Anglais</t>
  </si>
  <si>
    <t>Sac de Médecine de Barker</t>
  </si>
  <si>
    <t>Peut conférer jusqu'à 6 pts d'Apaisement pour 4 rituels max./ Handicap: Serment (très dérangeant): doit partager le bénéfice de tous ses rituels très largement</t>
  </si>
  <si>
    <t>Parchemin de bouleau argenté</t>
  </si>
  <si>
    <t>TGWN 127</t>
  </si>
  <si>
    <t>Buste de Sœur Marie</t>
  </si>
  <si>
    <t>Quiconque porte la tête, peut revêtir l'apparence d'une belle et jeune française./ Ne peut parler qu'en français. Handicap: Ambition forte: Entérer la tête avec le reste du corps.</t>
  </si>
  <si>
    <t>Harpon: +6 à tous les tests pour le Lancer. Ne peut être perdu ni brisé/ Handicap: Intolérant/ Chauvin (fortemment): tous les ours et ne peut être utilisé contre un morse.</t>
  </si>
  <si>
    <t>+2 en Foi (Magie Noire) ou pour incanter des sorts de Magie Noire/ Tant qu'il est en possession d'une telle relique, le personnage ne peut pas dépenser de pépite pour éviter des blessures</t>
  </si>
  <si>
    <t>A une odeur forte et particulière qui résiste même à un bain et indispose les animaux. -2 en dressage, et en de furtivité pour échapper aux animaux</t>
  </si>
  <si>
    <t>A une odeur forte et particulière qui résiste même à un bain et indispose les animaux. -2 à tous les tests de dressage, d'Equitation et en de Discrétion pour échapper aux animaux</t>
  </si>
  <si>
    <t>Peuvent être façonnés sur simple commande vocale sans jamais se déchirer/Handicaps: Reclus et Respect des coutumes ancestrales</t>
  </si>
  <si>
    <r>
      <t xml:space="preserve">Le héros s'est pris un vilain coup en affrontant une abomination. Ça lui a laissé une marque a jamais. Il a le Handicap </t>
    </r>
    <r>
      <rPr>
        <b/>
        <sz val="9"/>
        <color theme="1"/>
        <rFont val="Arial"/>
        <family val="2"/>
      </rPr>
      <t>Frêle</t>
    </r>
    <r>
      <rPr>
        <sz val="9"/>
        <color theme="1"/>
        <rFont val="Arial"/>
        <family val="2"/>
      </rPr>
      <t>.</t>
    </r>
  </si>
  <si>
    <r>
      <t>Ce petit joueur a vu des choses qu’il n’aurai</t>
    </r>
    <r>
      <rPr>
        <sz val="9"/>
        <rFont val="Arial"/>
        <family val="2"/>
      </rPr>
      <t xml:space="preserve">t pas dû voir et, une abomination intelligente et incroyablement maléfique l’a maudit en mourant. Depuis il a le frousse chaque fois qu'il doit affronter une situation effrayante: il a peur du noir, peur de s’aventurer hors du camp pour se soulager, et ainsi de suite. Il gagne le handicap </t>
    </r>
    <r>
      <rPr>
        <b/>
        <sz val="9"/>
        <rFont val="Arial"/>
        <family val="2"/>
      </rPr>
      <t>Joe la Trouille/Couard</t>
    </r>
  </si>
  <si>
    <r>
      <t xml:space="preserve">Dans le Weird West, c'est parfois difficile de trouver de quoi manger. Le personnage a survécu pendant de nombreux jours sans nourriture. Il a désormais toujours faim et, étrangement, ne peut plus manger que de la viande fraîche sous peine de se sentir très mal. Il a le handicap </t>
    </r>
    <r>
      <rPr>
        <b/>
        <sz val="9"/>
        <rFont val="Arial"/>
        <family val="2"/>
      </rPr>
      <t xml:space="preserve">Alimentation répugnante </t>
    </r>
    <r>
      <rPr>
        <sz val="9"/>
        <rFont val="Arial"/>
        <family val="2"/>
      </rPr>
      <t>(même s'il n'est pas un détérré)</t>
    </r>
  </si>
  <si>
    <t>Pyromanie</t>
  </si>
  <si>
    <t>Kleptomanie</t>
  </si>
  <si>
    <t>Délires héroïques</t>
  </si>
  <si>
    <t>Ermite</t>
  </si>
  <si>
    <r>
      <t xml:space="preserve">Une sinistre rencontre mécanique a déteint sur le personnage à un point tel qu'il transpire abondamment et n'est pas à l'aise au contact de la civilisation ou de technologie. Il gagne les handicaps </t>
    </r>
    <r>
      <rPr>
        <b/>
        <sz val="9"/>
        <rFont val="Arial"/>
        <family val="2"/>
      </rPr>
      <t>Puant</t>
    </r>
    <r>
      <rPr>
        <sz val="9"/>
        <rFont val="Arial"/>
        <family val="2"/>
      </rPr>
      <t xml:space="preserve"> et </t>
    </r>
    <r>
      <rPr>
        <b/>
        <sz val="9"/>
        <rFont val="Arial"/>
        <family val="2"/>
      </rPr>
      <t>Reclus</t>
    </r>
    <r>
      <rPr>
        <sz val="9"/>
        <rFont val="Arial"/>
        <family val="2"/>
      </rPr>
      <t>.</t>
    </r>
  </si>
  <si>
    <r>
      <t xml:space="preserve">Le cow-boy ne peut jamais oublier les horreurs qu’il a vécues. Elles viennent le hanter jusque dans ses rêves et lui infligent le Handicap </t>
    </r>
    <r>
      <rPr>
        <b/>
        <sz val="9"/>
        <color theme="1"/>
        <rFont val="Arial"/>
        <family val="2"/>
      </rPr>
      <t>Terreurs Nocturnes/Mauvais Rêves.</t>
    </r>
  </si>
  <si>
    <r>
      <t xml:space="preserve">Ce héros a rencontré un peu trop d'abominations, et les hurlements des démons résonnent un peu trop souvent dans son crâne. Ce bruit incessant ne l'aide pas à penser clairement : il gagne le handicap </t>
    </r>
    <r>
      <rPr>
        <b/>
        <sz val="9"/>
        <rFont val="Arial"/>
        <family val="2"/>
      </rPr>
      <t>Tourments (Spleen passager)</t>
    </r>
  </si>
  <si>
    <t>Souillure/ Dépravation</t>
  </si>
  <si>
    <r>
      <t xml:space="preserve">Le personnage a connu l'Enfer, et même s'il en est revenu il en porte désormais la marque à vie. Il reçoit le handicap </t>
    </r>
    <r>
      <rPr>
        <b/>
        <sz val="9"/>
        <rFont val="Arial"/>
        <family val="2"/>
      </rPr>
      <t>Souillure/ Dépravation</t>
    </r>
  </si>
  <si>
    <t>Métabolisme ralenti</t>
  </si>
  <si>
    <t>Takklemaggot</t>
  </si>
  <si>
    <r>
      <t xml:space="preserve">Le personnage a croisé une abomination qui a vieilli ton personnage d'une quarantaine d'années. Il gagne le désavantage </t>
    </r>
    <r>
      <rPr>
        <b/>
        <sz val="9"/>
        <rFont val="Arial"/>
        <family val="2"/>
      </rPr>
      <t>Croulant/Agé</t>
    </r>
    <r>
      <rPr>
        <sz val="9"/>
        <rFont val="Arial"/>
        <family val="2"/>
      </rPr>
      <t xml:space="preserve"> quel que soit son âge réel.</t>
    </r>
  </si>
  <si>
    <r>
      <t xml:space="preserve">Le cow-boy a écumé l'ouest sauvage est rien ni personne ne lui est arrivé à le cheville, du moins, c'est ce qu'il croit. Désormais, il passe plus de temps à chercher les ennuis et à provoquer ces ennemis qu'autre chose. Il gagne le Handicap </t>
    </r>
    <r>
      <rPr>
        <b/>
        <sz val="9"/>
        <color theme="1"/>
        <rFont val="Arial"/>
        <family val="2"/>
      </rPr>
      <t>Ecole de Tocards/ Arrogant.</t>
    </r>
  </si>
  <si>
    <t>A chaque fois qu'il doit ingérer une nourriture qui n’est pas soigneusement préparée, elle n'est pas considérée comme étant satisfaisante pour ton héros et cela lui confère un état de Fatigue</t>
  </si>
  <si>
    <r>
      <t xml:space="preserve">Le cow-boy a été témoin de trop d'horreurs et d'injustices ici bas. Il s'est juré de protéger les plus faibles ce qui lui inflige les Handicaps </t>
    </r>
    <r>
      <rPr>
        <b/>
        <sz val="9"/>
        <color theme="1"/>
        <rFont val="Arial"/>
        <family val="2"/>
      </rPr>
      <t>Héroïque</t>
    </r>
    <r>
      <rPr>
        <sz val="9"/>
        <color theme="1"/>
        <rFont val="Arial"/>
        <family val="2"/>
      </rPr>
      <t xml:space="preserve"> et </t>
    </r>
    <r>
      <rPr>
        <b/>
        <sz val="9"/>
        <color theme="1"/>
        <rFont val="Arial"/>
        <family val="2"/>
      </rPr>
      <t>Honorable</t>
    </r>
  </si>
  <si>
    <t>Protéger la veuve et l'orphelin</t>
  </si>
  <si>
    <t>Simple d'esprit</t>
  </si>
  <si>
    <r>
      <t>Ce héros a peut-être subi une grave blessure mentale, à moins qu'une créature ne lui ait grignoté la cervelle? Bien qu'étant toujours en vie et doué d'intelligence, il est désormais extrêmement difficile d'apprendre quelque chose ce nouveau car il est devenu</t>
    </r>
    <r>
      <rPr>
        <b/>
        <sz val="9"/>
        <rFont val="Arial"/>
        <family val="2"/>
      </rPr>
      <t xml:space="preserve"> Illétré</t>
    </r>
    <r>
      <rPr>
        <sz val="9"/>
        <rFont val="Arial"/>
        <family val="2"/>
      </rPr>
      <t xml:space="preserve">, </t>
    </r>
    <r>
      <rPr>
        <b/>
        <sz val="9"/>
        <rFont val="Arial"/>
        <family val="2"/>
      </rPr>
      <t>Paumé</t>
    </r>
    <r>
      <rPr>
        <sz val="9"/>
        <rFont val="Arial"/>
        <family val="2"/>
      </rPr>
      <t xml:space="preserve"> et d'une manière générale </t>
    </r>
    <r>
      <rPr>
        <b/>
        <sz val="9"/>
        <rFont val="Arial"/>
        <family val="2"/>
      </rPr>
      <t>Ignorant</t>
    </r>
    <r>
      <rPr>
        <sz val="9"/>
        <rFont val="Arial"/>
        <family val="2"/>
      </rPr>
      <t>.</t>
    </r>
  </si>
  <si>
    <r>
      <t xml:space="preserve">Une exposition prolongée et trop fréquente aux périls, maladies et autres substances étranges du Weird West ont affaibli le métabolisme du héros et l'ont rendu méfiant, </t>
    </r>
    <r>
      <rPr>
        <b/>
        <sz val="9"/>
        <color theme="1"/>
        <rFont val="Arial"/>
        <family val="2"/>
      </rPr>
      <t>Anémique</t>
    </r>
    <r>
      <rPr>
        <sz val="9"/>
        <color theme="1"/>
        <rFont val="Arial"/>
        <family val="2"/>
      </rPr>
      <t xml:space="preserve"> et </t>
    </r>
    <r>
      <rPr>
        <b/>
        <sz val="9"/>
        <color theme="1"/>
        <rFont val="Arial"/>
        <family val="2"/>
      </rPr>
      <t>Fine Bouche.</t>
    </r>
  </si>
  <si>
    <t>Carabine Chassepot</t>
  </si>
  <si>
    <t>Jambe de bois de Santa Anna</t>
  </si>
  <si>
    <t>So'TB 79</t>
  </si>
  <si>
    <t>Atout: Pied léger/Véloce (rapide), +4 aux tests de Charisme, Persuasion et d'Intimidation/ Remplace une jambe, Handicap: Ambition forte: Envahir et conquérir le Texas.</t>
  </si>
  <si>
    <t>Iztli de sang</t>
  </si>
  <si>
    <t>Couteau: Dégâts FOR +2d6. +1pt d'Apaisement quand utilité pour un rituel de sang aztèque/ Handicap: Sanguinaire (ou Méchant comme une Teigne si déjà sanguinaire)</t>
  </si>
  <si>
    <t>So'TB 111</t>
  </si>
  <si>
    <t>Cape à Plumes aztèque</t>
  </si>
  <si>
    <t>Permet de voler avec un Allure de 10./ Généralement aucune, parfois Intolérant/ Rancunier/ Chauvin : Tezcatlipoca</t>
  </si>
  <si>
    <t>Permet d'utiliser le Pouvoir Transformation: Jaguar/ Handicap: Alimentation répugnante (viande fraiche)</t>
  </si>
  <si>
    <t>Peau de Jaguar aztèque</t>
  </si>
  <si>
    <t>Sceptre de Mictlantecuhtli</t>
  </si>
  <si>
    <t>Quiconque est touché par ce septre subit 3d10 pts de dégâts aux parties vitales. 9X/jour/ Handicap: Larbin de la Faucheuse/ Sinistre Serviteur de la Mort</t>
  </si>
  <si>
    <t>So'TB 112</t>
  </si>
  <si>
    <t>Miroir Fumant</t>
  </si>
  <si>
    <t>Une fois tous les 20 jours réussir un test d'äme pour avoir un bref aperçu du futur/ Aucun</t>
  </si>
  <si>
    <t>Xiuhcoatl</t>
  </si>
  <si>
    <t>Peut 9 fois par jour émettre un cône de flammes qui fait 6d10pts de dégâts sur une portée de 20./ Démence: Pyromanie</t>
  </si>
  <si>
    <t>Tirer une carte marquée permet toujours d'avoir l'effet minimum ou augmente d'un cran la réussite/ Démence: Paranoïaque</t>
  </si>
  <si>
    <t>Transforme une cible volontaire en Nagual (voir Rascals, Vermins et Critters)</t>
  </si>
  <si>
    <t>Crée une flèchette par niveau qui inflige 1d6pts de dégâts. Faire un Test d'Arcanes. Pour chaque succès et Relance, une flèchette touche.</t>
  </si>
  <si>
    <t>5m/niv.</t>
  </si>
  <si>
    <t>South O'the Border 109</t>
  </si>
  <si>
    <t>Si un test d'Arcanes est réussi: Aspire le sang à travers les pores d'une victime, lui infligeant 1d8pts de dégâts par niveau du lanceur. Ceux qui sont témoins de cet effet doivent réussir un jet de Tripes à 7.</t>
  </si>
  <si>
    <t>1 round +1/niv.</t>
  </si>
  <si>
    <t>Par tranche de 5pts que le lanceur obtient à son jet d'Arcane, augmente la Rapidité de la cible d'un cran de dé. Tout résultat au dessus de d12 donne un bonus de +2 à la place.</t>
  </si>
  <si>
    <t>Changeforme/ Nahual</t>
  </si>
  <si>
    <t>South O'the Border 110</t>
  </si>
  <si>
    <t>Sur un jet d'Arcanes réussi, permet d'infliger des dégâts en fonction du niv. du Lanceur: 1:2d6; 2:3d8; 3:4d10; 4:5d12; 5: 6d20. Peut aussi affecter des créatures éthérées.</t>
  </si>
  <si>
    <t>1d6+2 rounds</t>
  </si>
  <si>
    <t>Test d'Âme opposé. En cas de succès la peau de la victime se couvre de boutons et bubons: -1 au cran de dé de Dextérité, Agilité et Charisme tant que dure le sort. Sur un jet de Vigeur de 9 raté, la vitime devient Laid comme un Pou/Moche</t>
  </si>
  <si>
    <t>Test opposé d'incantation contre 5+ la valeur de combat de la victime. En cas de succès un esprit jaguar inflige griffures et morsures visibles en fonction du niveau du lanceur: 1:5d6; 2:5d8; 3:5d10; 4:5d12; 6:5d20</t>
  </si>
  <si>
    <t>Balais Volant</t>
  </si>
  <si>
    <t>The North 96</t>
  </si>
  <si>
    <t>Bâton de Hop Li</t>
  </si>
  <si>
    <t>Peut effectuer deux actions en dépensant un point de Chi. En dépensant 2pts de Chi après un élan de 5m: Peut sauter jusqu'à 30m de haut/ Illuminé seulement.</t>
  </si>
  <si>
    <t>The South 129</t>
  </si>
  <si>
    <t xml:space="preserve"> LCELC 62/ Death 71</t>
  </si>
  <si>
    <t>Elixir des Prospecteurs</t>
  </si>
  <si>
    <t>Le Déttéré qui boit cet elixir peut immédiatement faire un test de Dominion (même domination totale) et reçoit une Pépite Bleue pour ce test/ Aucun, détérré uniquement</t>
  </si>
  <si>
    <t>BotDead 111</t>
  </si>
  <si>
    <t>Carabine de Jefferson Davis</t>
  </si>
  <si>
    <t>US modèle 1841: comme l'original mais fait 4d10 pts de dégâts, 8d10 pts de dégâts contre les Mexicains./ Handicap: Intolérant (Mexicains)</t>
  </si>
  <si>
    <t>DeadPres 14</t>
  </si>
  <si>
    <t>Portrait de Sarah Knox Davis</t>
  </si>
  <si>
    <t>Tout Davis véritable qui se trouve dans un rayon de 20m autour du portrait n'est pas affecté par la maladie, le poison et ne subit que la moitié des dégâts/ Aucune</t>
  </si>
  <si>
    <t>Bible de Joeseph Davis</t>
  </si>
  <si>
    <t>Peut être utilisée comme un réservoir de 15 pts de Souffle par tout Elu uniquement pour lancer un miracle. Récupère 1pt/h / Aucune</t>
  </si>
  <si>
    <t>Revolver de Stuart Lemat</t>
  </si>
  <si>
    <t>-2 à tous ses jets d’Aptitudes sociales vis-à vis des Indiens</t>
  </si>
  <si>
    <t>DeadPres 34</t>
  </si>
  <si>
    <t>Hypochondrie</t>
  </si>
  <si>
    <t>Jeu de cartes de Nicodemus Whateley</t>
  </si>
  <si>
    <t>Permet de piocher une carte en plus. Si une face est piochée, un sort peut être abandonné pour invoquer un démon./ Tous les Jokers font un contrecoup à +4 + atk de démon</t>
  </si>
  <si>
    <t>Sacrifice d'un esprit animal</t>
  </si>
  <si>
    <t>7 à 9</t>
  </si>
  <si>
    <t>1 ou 2</t>
  </si>
  <si>
    <t>Ghost Dancers 73</t>
  </si>
  <si>
    <t>Permet de sacrifier un animal. Si le Rituel échoue le chaman perd sa plus haute pépite ou le niveau du rituel est réduit de -1. En cas de plantage, l'esprit protecteur du chaman le quitte.</t>
  </si>
  <si>
    <t>Fumer de la Datura</t>
  </si>
  <si>
    <t>Ghost Dancers 74</t>
  </si>
  <si>
    <t>Test de Vigueur ND9: Echec: 4d10pts dégâts. Plantage: 4d10pts de dégâts et 1d4 jours dans le coma. Succès : 2pts d'Apaisement par succès et +1 en Trempe uniquement pour devenir un Détérré mais Dominion -1.</t>
  </si>
  <si>
    <t>Consommer du Peyote</t>
  </si>
  <si>
    <t>Ghost Dancers 75</t>
  </si>
  <si>
    <t>Durant 8h diminue de 2 le cran de tous les dés.Si employé à nouveau en déhans les 8h: jet de Vigeur à 9. En cas d'Echec 3d6 dégâts. En cas de plantage la vigueur du personnage diminue de 1 niv. et effet prolongé de 8h.</t>
  </si>
  <si>
    <t>Peinture de sable</t>
  </si>
  <si>
    <t>Ghost Dancers 76</t>
  </si>
  <si>
    <t>1 à 12 heures</t>
  </si>
  <si>
    <t>10 min à 2h</t>
  </si>
  <si>
    <t>1 à 8 heures</t>
  </si>
  <si>
    <t>Réalise un glyphe au sol: Petit: 2pts d'apaisement, 1h, SD 9 ; Moyen: 3pts d'apaisement, 3h, SD 7; Grand: 5pts d'apaisement, 12h, SD 5</t>
  </si>
  <si>
    <t>Cicatrices/ Scarification</t>
  </si>
  <si>
    <t>Chant Spirituel</t>
  </si>
  <si>
    <t>5 à 10 min</t>
  </si>
  <si>
    <t>Scruter les étoiles</t>
  </si>
  <si>
    <t>En regardant et étudiant les étoiles par une nuit étoilée, le chaman peut connaitre la volonté des esprits. Ne fonctionne que pour les faveurs liées à la terre.</t>
  </si>
  <si>
    <t>Sudation</t>
  </si>
  <si>
    <t>Marque dans la peau son attachement aux esprits: Petit tatouage: SD 9 Vitesse 1 heure; Tatouage moyen: SD 7 Vitesse 2 heures; Grand tatouage SD 5 Vitesse 8 heures.</t>
  </si>
  <si>
    <t>Ne crée pas de point d'apaisement mais facilite les autres rituels. Jet de Vigeur de SD 9: réduit le SD de tous les rituels effectués dans les 24h qui suivent de 1 par succès obtenu. Un échec fait perdre 2d6 Souffle.</t>
  </si>
  <si>
    <t>Fumer du Tabac</t>
  </si>
  <si>
    <t>15 min</t>
  </si>
  <si>
    <t>Le fumée du tabac transporte les paroles du chaman vers les cieux. Les dieux peuvent l'entendre plus facilement.</t>
  </si>
  <si>
    <t>Cri de Guerre</t>
  </si>
  <si>
    <t>Une fois par scène uniquement pour une faveur liée à la guerre: ajoute +1 dé à un jet.</t>
  </si>
  <si>
    <t>Permet de canaliser les points crées par un rituel dirigé par un chaman vers le chanteur. Voir  détails p74</t>
  </si>
  <si>
    <t>Scalpel du Boucher</t>
  </si>
  <si>
    <t>Transforme son porteur en Boucher trois nuits consécutives voir détail Independance Day p.37</t>
  </si>
  <si>
    <t>Independance 37</t>
  </si>
  <si>
    <t>Freeman Army</t>
  </si>
  <si>
    <t>Joslyn Army</t>
  </si>
  <si>
    <t>Remington New Model</t>
  </si>
  <si>
    <t>Remington Single-action</t>
  </si>
  <si>
    <t>Pepperbox English model 1840</t>
  </si>
  <si>
    <t>Williamson Single Shot</t>
  </si>
  <si>
    <t>Remington Double Derringer</t>
  </si>
  <si>
    <t>Sharps Derringer</t>
  </si>
  <si>
    <t>Bullard Express</t>
  </si>
  <si>
    <t>Une paire de valets ou mieux</t>
  </si>
  <si>
    <t>Science des Patchworks</t>
  </si>
  <si>
    <t>Permet de voler avec un Allure de 36./ Handicaps: Puant et Laid comme un Pou/Moche durant une semaine après avoir utilisé le balais</t>
  </si>
  <si>
    <r>
      <t xml:space="preserve">LeMat Grapeshot (pistolet &amp; shotgun): comme l'original mais cause des dégâts double contre les abominations et esprits. Atout: </t>
    </r>
    <r>
      <rPr>
        <i/>
        <sz val="8"/>
        <color theme="1"/>
        <rFont val="Calibri"/>
        <family val="2"/>
        <scheme val="minor"/>
      </rPr>
      <t>Cavalier</t>
    </r>
    <r>
      <rPr>
        <sz val="8"/>
        <color theme="1"/>
        <rFont val="Calibri"/>
        <family val="2"/>
        <scheme val="minor"/>
      </rPr>
      <t>/ Handicap: Ca va les chevilles?/Présomptueux</t>
    </r>
  </si>
  <si>
    <t>Le porteur peut transmettre automatiquement par télépathie sa localisation à qui il le souhaite./ Handicap: Ambition forte: Trouver le passage du Nord Ouest</t>
  </si>
  <si>
    <t>Peut s'infliger des blessures pour obtenir plus de pouvoir. Voir Deadlands Reloaded - Livre de Base p 153</t>
  </si>
  <si>
    <t>Le personnage a une ambition démesurée dans la vie. Il ne peut pas y résister.</t>
  </si>
  <si>
    <t>Ton héros est un grippe-sou qui mesure sa valeur en monnaies sonnantes et trébuchantes. il se bat pour tout partage qu’il trouve inégal et peut arriver au meurtre pour avoir sa part.</t>
  </si>
  <si>
    <t>Réduisez de manière cumulative son Allure de 2. Cumulable avec Boiteux.</t>
  </si>
  <si>
    <t>Réduisez de manière cumulative son Allure de 3. Cumulable avec Boiteux.</t>
  </si>
  <si>
    <t>Réduisez de manière cumulative son Allure de 4. Cumulable avec Boiteux.</t>
  </si>
  <si>
    <t>Réduisez de manière cumulative son Allure de 5. Cumulable avec Boiteux.</t>
  </si>
  <si>
    <t>Réduit l’Allure de manière cumulative de 2 points, pour un minimum de 2 points</t>
  </si>
  <si>
    <t>Réduit l’Allure de manière cumulative de 3 points, pour un minimum de 2 points</t>
  </si>
  <si>
    <t>Réduit l’Allure de manière cumulative de 4 points, pour un minimum de 2 points</t>
  </si>
  <si>
    <t>Réduit l’Allure de manière cumulative de 5 points, pour un minimum de 2 points</t>
  </si>
  <si>
    <t>Ne peut pas entrer dans un lieu sacré. S'il tente sa chance quand même, il subit 3d6 points de dégâts à chaque round. C'est le Marshal qui a le dernier mot pour dire si un lieu est sacré ou pas.</t>
  </si>
  <si>
    <t>Comme Poker + Pioche Jeton</t>
  </si>
  <si>
    <t>Apothicaire/ Herboriste</t>
  </si>
  <si>
    <t>Aristocrate/ Noble</t>
  </si>
  <si>
    <t>Artiste</t>
  </si>
  <si>
    <t>Comptable</t>
  </si>
  <si>
    <t>Contremaître</t>
  </si>
  <si>
    <t>Dilettante</t>
  </si>
  <si>
    <t>Esclave</t>
  </si>
  <si>
    <t>Guide/ Interprète</t>
  </si>
  <si>
    <t>Hors-la-loi/ Gangster/ Bandit</t>
  </si>
  <si>
    <t>Huckster</t>
  </si>
  <si>
    <t>Libraire/ Bibliothécaire</t>
  </si>
  <si>
    <t>Peintre en bâtiment</t>
  </si>
  <si>
    <t>Sapeur Pompier</t>
  </si>
  <si>
    <t>Spécialiste en Arts Martiaux</t>
  </si>
  <si>
    <t>Concierge</t>
  </si>
  <si>
    <t>Marin/ Matelot/ Capitaine de navire</t>
  </si>
  <si>
    <t>Mercenaire</t>
  </si>
  <si>
    <t>Syndicaliste</t>
  </si>
  <si>
    <t>Coréen</t>
  </si>
  <si>
    <t>Japonnais</t>
  </si>
  <si>
    <t>Arborigène</t>
  </si>
  <si>
    <t>Berbère</t>
  </si>
  <si>
    <t>Créole</t>
  </si>
  <si>
    <t>Inuit</t>
  </si>
  <si>
    <t>Sanskrit</t>
  </si>
  <si>
    <t>Néerlandais</t>
  </si>
  <si>
    <t>Notaire</t>
  </si>
  <si>
    <t>Industrielle</t>
  </si>
  <si>
    <t>Criminelle</t>
  </si>
  <si>
    <t>Te permet de te métamorphoser en un animal moyen: Chien, Loup, Cerf,…</t>
  </si>
  <si>
    <t>Pile électrique/La Coupe déborde</t>
  </si>
  <si>
    <t>Le Déluge 14</t>
  </si>
  <si>
    <t>Concentration du Chi</t>
  </si>
  <si>
    <t>Le personnage utilise son Âme, et non sa Force, pour infliger des dégâts quand il se sert des arts martiaux.</t>
  </si>
  <si>
    <t>Le Déluge 15</t>
  </si>
  <si>
    <t>Frappe de la Foudre</t>
  </si>
  <si>
    <t>Briser un objet: jet de Combat avec malus de -4. Si réussite: inflige le double des dégâts à l'objet ciblé, quel qu'il soit.</t>
  </si>
  <si>
    <t>Kung-fu céleste: L’homme ivre</t>
  </si>
  <si>
    <t>Kung-fu céleste: La serre de l’aigle</t>
  </si>
  <si>
    <t>Kung-fu céleste: La Mante Religieuse</t>
  </si>
  <si>
    <t>Kung-fu céleste: Le Singe</t>
  </si>
  <si>
    <t>Kung-fu céleste: Le temple de Shaolin</t>
  </si>
  <si>
    <t>Kung-fu céleste: Shuai Chao</t>
  </si>
  <si>
    <t>Kung-fu céleste: Tai chi</t>
  </si>
  <si>
    <t>Kung-fu céleste: Tan tui</t>
  </si>
  <si>
    <t>Kung-fu céleste: Wing chun</t>
  </si>
  <si>
    <t>Arcane (Illumination/ Maitrise du Chi), Âme d8, Combat d10</t>
  </si>
  <si>
    <t>Arcane (Illumination/ Maitrise du Chi), Force d8, Combat d8</t>
  </si>
  <si>
    <t>Bonus à la Parade de +2 au lieu de +1 mais sa démarche titubante réduit son Allure de -1 au lieu de -2 lorsqu’il utilise ce style.</t>
  </si>
  <si>
    <t>Tes attaques de Combat infligent For + d6 points de dégâts et ont une PA 2.</t>
  </si>
  <si>
    <t>Défausse-toi des cartes inférieures ou égales à 8 que tu pioches en combat et en tire une autre. S’il a l’Atout Vif, défausse- toi des cartes inférieures ou égales à 10.</t>
  </si>
  <si>
    <t>Ton fourbe hombre bénéficie d’un bonus de +4 au lieu de +2 lorsqu’il fait des jets de Sarcasme ou accomplit des Ruses d’Agilité.</t>
  </si>
  <si>
    <t>Les attaques de Combat à mains nues de ton héros infligent For + d8 (au lieu de d6) points de dégâts.</t>
  </si>
  <si>
    <t>Si ton personnage attrape un adversaire et choisit de lui infliger des dégâts, la combinaison des clés et des coups de poing vicieux lui feront subir For + d6 (au lieu de d4) points de dégâts</t>
  </si>
  <si>
    <t>Ta victime recule de 1d6 (au lieu de d4) cases par succès et par Relance sur ton jet de Combat. S’ils touchent un objet solide, comme un mur, ils sont automatiquement Secoués</t>
  </si>
  <si>
    <t>Les coups de pied de ton hombre infligent For + d8 (au lieu de d6) points de dégâts. S’il se retrouve à terre, il peut utiliser ses puissantes jambes pour se remettre sur ses pieds sans y consacrer d’action de mouvement</t>
  </si>
  <si>
    <t>Tant que ton héros attaque à mains nues, il peut faire une attaque de Combat supplémentaire sans pénalité. Ignore la pénalité normale de-2 sur ta mauvaise main (comme s'il était Ambidextre) et bénéficie d'un bonus de +1 sur sa Parade quand tu utilises tes mains et tes pieds nus.</t>
  </si>
  <si>
    <t>Le Déluge 16</t>
  </si>
  <si>
    <t>Le Déluge 17</t>
  </si>
  <si>
    <t>Le Déluge 18</t>
  </si>
  <si>
    <t>Esprit du Vif Argent</t>
  </si>
  <si>
    <t>Arcane (Illumination/ Maitrise du Chi), Âme d6, Arts Martiaux</t>
  </si>
  <si>
    <t>Jet d'Intellect -1/pt de Trempe de la cible.  S'il réussi, pdt 3 Rounds (5 Rounds avec Relance) peut copier un Pouvoir qu'il vient d'observer. Ne peut pas servir à améliorer le niveau d'un pouvoir ou d'un Atout ni être utilisé contre une cible qui n'a pas l'Atout Arcanes (Illumination/Maîtrise du chi).</t>
  </si>
  <si>
    <t>Jet d'Astuce -1/pt de Trempe de la cible.  S'il réussi, pdt 3 Rounds peut copier un Style qu'il vient d'observer. Ne peut pas servir contre une cible qui n'a pas l'Atout Arcanes (Illumination/Maîtrise du chi).</t>
  </si>
  <si>
    <t>Saut de la Mangouste</t>
  </si>
  <si>
    <t>Arcane (Illumination/ Maitrise du Chi), Combat d8</t>
  </si>
  <si>
    <t>+1 à son Allonge lorsqu'il attaque avec ses mains ou ses pieds. Il ne peut pas combiner cet Atout avec Frappe éclair, Frénésie ou Balayage.</t>
  </si>
  <si>
    <t>Les adversaires jusqu'à 2 cases de distance sont considérés comme au Corps à Corps lorsqu'il attaque avec ses mains ou ses pieds. Il ne peut pas combiner cet Atout avec Frappe éclair, Frénésie ou Balayage.</t>
  </si>
  <si>
    <t>Pieds de la Fureur: Balayage</t>
  </si>
  <si>
    <t>Pieds de la Fureur: Coup de pied retourné</t>
  </si>
  <si>
    <t>Pieds de la Fureur: Coup de pied sauté</t>
  </si>
  <si>
    <t>Arcane (Illumination/ Maitrise du Chi), Agilité d8, Combat d8</t>
  </si>
  <si>
    <t>Atk qui n'inflige pas de dégâts, mais si réussie, cible doit réussir jet de Vigueur ( -2 si le personnage a déclaré une Relance) pour ne pas être Étourdie. Ne peut pas se déplacer quand il utilise cette technique.</t>
  </si>
  <si>
    <t>Malus de -2 à son jet d'attaque mais +4 à son jet de dégâts. Ne peut ni se déplacer, ni combiner le coup de pied retourné avec une Attaque totale.</t>
  </si>
  <si>
    <t>Atk qui n'inflige pas de dégâts, mais si réussie, cible doit réussir jet de Vigueur pour ne pas être Étourdie. Ne peut pas se déplacer quand il utilise cette technique.</t>
  </si>
  <si>
    <t>Capitaine de navire</t>
  </si>
  <si>
    <t>Commandement, Navigation d8</t>
  </si>
  <si>
    <t>Ton hombre a vécu près de l'eau un long moment, peutêtre même toute sa vie, et il possède son propre Coureur du Labyrinthe</t>
  </si>
  <si>
    <t>Arts Martiaux Supérieurs</t>
  </si>
  <si>
    <t>En se tenant immobile et en se concentrant, soustrait 2 pts aux modificateurs sur la prochaine atk ciblée portée à l'aide de ses mains ou de ses pieds. Ne peut pas bouger au cours du Round pendant lequel cet Atout est utilisé</t>
  </si>
  <si>
    <t>Tir d10</t>
  </si>
  <si>
    <t>Lorsqu'il inflige des dégâts au cours d'un combat naval, le personnage peut choisir de modifier de 1 point son jet sur la Table des Coups Critiques, dans un sens ou dans l'autre, et ce après avoir lancé les dés pour obtenir un Coup Critique.</t>
  </si>
  <si>
    <t>Lorsqu'il inflige des dégâts au cours d'un combat naval, le personnage peut choisir de cibler une localisation particulière sur la cible touchée.</t>
  </si>
  <si>
    <t>Combat aveugle</t>
  </si>
  <si>
    <t>Aucune pénalité dans l'obscurité s'il attaque des adversaires situés dans un rayon de 1 mètre autour de lui et il peut suffisamment sentir leurs déplacements pour se diriger vers eux. Si Bigleux/Aveugle aucun malus aux jets de Combat.</t>
  </si>
  <si>
    <t>Ondulation du Serpent</t>
  </si>
  <si>
    <t>Arts martiaux, Agilité d8</t>
  </si>
  <si>
    <t>Peut Briser le combat sans concéder d'attaque gratuite à qui que ce soit.</t>
  </si>
  <si>
    <t>Frappe des Dix Tigres</t>
  </si>
  <si>
    <t>Le Seuil de Difficulté ne peut jamais être supérieur à 2 pour éviter d’être surpris</t>
  </si>
  <si>
    <t>Frappe éclair, Agilité d8, Combat d8, Intimidation ou Sarcasmes d6</t>
  </si>
  <si>
    <t>Arts martiaux, Combat d8, Perception d10</t>
  </si>
  <si>
    <t>Arcane (Illumination/ Maitrise du Chi), Intellect d8, Perception d8</t>
  </si>
  <si>
    <t>Arts Martiaux Célestes</t>
  </si>
  <si>
    <t>Arts martiaux supérieurs, Combat d12</t>
  </si>
  <si>
    <t>En se tenant immobile et en se concentrant, soustrait 4 pts (au lieu de2) aux modificateurs sur la prochaine atk ciblée portée à l'aide de ses mains ou de ses pieds. Ne peut pas bouger au cours du Round pendant lequel cet Atout est utilisé</t>
  </si>
  <si>
    <t>Arts Martieux Célestes</t>
  </si>
  <si>
    <t>Parade d'acier</t>
  </si>
  <si>
    <t>Arts Martiaux, Cran/ Blocage (grand)</t>
  </si>
  <si>
    <t>Si un adversaire adjacent utilise contre lui une attaque à mains nues et rate son jet de Combat, il subit des dégâts égaux à la Force du héros. S'il utilise une arme de mêlée, il subit à la place les dégâts de l'arme.</t>
  </si>
  <si>
    <t>Test de Persuasion réussi: réduit de 1 (2 sur une relance) le Modificateur de prix  jusqu'à un minimum de 1, pdt 24h. Seuls lui et ses alliés bénéficient de ces tarifs préférentiels.</t>
  </si>
  <si>
    <t>Test de Bluff réussi: donne une réduction allant jusqu'à -10% du prix de vente pdt 24h.  Seuls lui et ses alliés bénéficient de ces tarifs préférentiels.</t>
  </si>
  <si>
    <t>Âme d8, Perception d6</t>
  </si>
  <si>
    <t>+4 sur tous ses jets de Recherche, de perception ou de Réseaux quand il s'agit de trouver de la roche fantôme. +2 pour ne pas attraper la « fièvre de la roche », et pour en guérir si jamais il tombe malade.</t>
  </si>
  <si>
    <t>+4 sur tous ses jets de perception, Carrière ou de Réseaux quand il s'agit de trouver de la roche fantôme. +2 pour ne pas attraper la « fièvre de la roche », et pour en guérir si jamais il tombe malade.</t>
  </si>
  <si>
    <t>Eventail de combat</t>
  </si>
  <si>
    <t>Nunchaku</t>
  </si>
  <si>
    <t>Sai</t>
  </si>
  <si>
    <t>Bâton trois sections</t>
  </si>
  <si>
    <t>dé For/Agi min</t>
  </si>
  <si>
    <t>CàC, Parade -1 ; Allonge 2</t>
  </si>
  <si>
    <t>CàC, Parade +1 avec Défense</t>
  </si>
  <si>
    <t>CàC, Parade -1 ; Allonge 2 ; voir notes</t>
  </si>
  <si>
    <t>ignore les bonus de Parade et de couverture</t>
  </si>
  <si>
    <t>Parade +1 ; voir notes</t>
  </si>
  <si>
    <t>1/2/4</t>
  </si>
  <si>
    <t>1,2/2,5/5</t>
  </si>
  <si>
    <t>Voir notes</t>
  </si>
  <si>
    <t>CàC, Parade +1 ; Allonge 1 ; nécessite 2 mains ; voir notes</t>
  </si>
  <si>
    <t>=CONCATENER('Perso Classic'!C50;"d";déForce;"+ 2d4")</t>
  </si>
  <si>
    <t>Couteau de lancer</t>
  </si>
  <si>
    <t>Shuriken</t>
  </si>
  <si>
    <t>Barge</t>
  </si>
  <si>
    <t>Barge à vapeur</t>
  </si>
  <si>
    <t>Canonnière</t>
  </si>
  <si>
    <t>Cannot</t>
  </si>
  <si>
    <t>Cargo</t>
  </si>
  <si>
    <t>Rapide du labirynthe</t>
  </si>
  <si>
    <t>Cuirassé</t>
  </si>
  <si>
    <t>Remorqueur</t>
  </si>
  <si>
    <t>Mine Limpet</t>
  </si>
  <si>
    <t>Mine à orin</t>
  </si>
  <si>
    <t>Mine Ludion</t>
  </si>
  <si>
    <t>Torpille mécanique</t>
  </si>
  <si>
    <t>10/20/30</t>
  </si>
  <si>
    <t>4d8+2</t>
  </si>
  <si>
    <t>FP 15, AL</t>
  </si>
  <si>
    <t>FP 10, AL</t>
  </si>
  <si>
    <t>4d6</t>
  </si>
  <si>
    <t>6d8</t>
  </si>
  <si>
    <t>Dynamite imperméable (le bâton)</t>
  </si>
  <si>
    <t>Le personnage perçoit mal ou même pas du tout les couleurs</t>
  </si>
  <si>
    <t>Low Lifes</t>
  </si>
  <si>
    <t>Un fantôme  providenciel et prévennant du danger hante le héro à chaque fois qu'il tire un Joker</t>
  </si>
  <si>
    <t>Charbon (25kg)</t>
  </si>
  <si>
    <t>River O'Blood 100</t>
  </si>
  <si>
    <r>
      <t xml:space="preserve">L’esprit de cet hombre n’est plus ce qu’il était. Lance sur la Table des </t>
    </r>
    <r>
      <rPr>
        <b/>
        <sz val="9"/>
        <color theme="1"/>
        <rFont val="Arial"/>
        <family val="2"/>
      </rPr>
      <t xml:space="preserve">Démences </t>
    </r>
    <r>
      <rPr>
        <sz val="9"/>
        <color theme="1"/>
        <rFont val="Arial"/>
        <family val="2"/>
      </rPr>
      <t>du savant fou page 215.</t>
    </r>
  </si>
  <si>
    <t>Héritage Maudit</t>
  </si>
  <si>
    <t>Traqué et poursuivi</t>
  </si>
  <si>
    <r>
      <t>L’Agence ou les Texas Rangers sait quelque chose sur le héros qui pourrait l’envoyer se balancer au bout d’une corde si ça venait à se savoir. Ils le recrutent fréquemment pour les missions les plus dures et n’envisagent pas vraiment le « non » comme une option. Lorsqu’ils viennent frapper à la porte, ces organisations ne le demandent ni gentiment, ni deux fois.
Pour déterminer envers quelle agence le personnage est lié, lancer 1d6 :
• 1-3 : l'Agence (Pinkerton), • 4-6 : Les Texas Rangers</t>
    </r>
    <r>
      <rPr>
        <sz val="9"/>
        <color rgb="FF00B050"/>
        <rFont val="Arial"/>
        <family val="2"/>
      </rPr>
      <t/>
    </r>
  </si>
  <si>
    <t>Pas de Bol/ Aimant à problèmes (mineur)</t>
  </si>
  <si>
    <t>Pas de Bol/ Aimant à problèmes (majeur)</t>
  </si>
  <si>
    <t>Chaque fois que le personnage se plante, les conséquences sont le catastrophiques.</t>
  </si>
  <si>
    <t>Chaque fois que le personnage obtient un Echec Critique, les conséquences sont catastrophiques possibles et/ou touchent aussi les alliés.</t>
  </si>
  <si>
    <t>Les Derniers Fils 24</t>
  </si>
  <si>
    <t>Les Derniers Fils 25</t>
  </si>
  <si>
    <t>Allergie (Mineure)</t>
  </si>
  <si>
    <t>Allergie (Majeure)</t>
  </si>
  <si>
    <t>Quand il est exposé à cette substance (en général en se retrouvant dans un rayon de 1,5 mètre autour de l’allergène), il doit réussir un jet de Vigueur à -1 ou subir un niveau de Fatigue qui dure 1d6 heures.</t>
  </si>
  <si>
    <t>Quand il est exposé à cette substance (en général en se retrouvant dans un rayon de 1,5 mètre autour de l’allergène), il doit réussir un jet de Vigueur à -2 ou subir un niveau de Fatigue qui dure une journée entière.</t>
  </si>
  <si>
    <t>Quand il est exposé à cette substance (en général en se retrouvant dans un rayon de 1,5 mètre autour de l’allergène), il doit réussir un jet de Vigueur à -1 ou perdre 4pts de Souffle  qui ne peuvent être récupérés pendant 1d6 heures.</t>
  </si>
  <si>
    <t>Quand il est exposé à cette substance (en général en se retrouvant dans un rayon de 1,5 mètre autour de l’allergène), il doit réussir un jet de Vigueur à -2 ou perdre 6pts de Souffle  qui ne peuvent être récupérés pendant 24 heures.</t>
  </si>
  <si>
    <t>Monomaniaque du bâton</t>
  </si>
  <si>
    <t>Est obligé d'effectuer sa 1ère atk pour marquer le coup au bâton (combat +2) sans faire de dégâts ou doit dépenser un jeton. Quand le Marshal détermine la Réaction d’un PNJ quelconque, il ajoute un bonus de +2 à ce jet</t>
  </si>
  <si>
    <t>Humour Noir/ Humour du condamné</t>
  </si>
  <si>
    <t>Sarcasmes d6</t>
  </si>
  <si>
    <t>S’il ne bouge pas durant le round il tire comme s’il avait pris la manoeuvre Viser. Ne fonctionne pas avec une arme ayant une Cadence de tir supérieure à 1. Cet Atout s’applique aux Compétences Tir et Lancer</t>
  </si>
  <si>
    <t>Double-flingues</t>
  </si>
  <si>
    <t>Tireur d'Elite, Johnny Deux flingues/Combat à deux armes (aucun malus), Tir d10
armes, Tir d10+</t>
  </si>
  <si>
    <t>S’il ne bouge pas durant le round il tire comme s’il avait pris la manoeuvre Viser pour deux cibles disticntes. Ne fonctionne pas avec une arme ayant une Cadence de tir supérieure à 1. Cet Atout s’applique aux Compétences Tir et Lancer</t>
  </si>
  <si>
    <t>Tant que le personnage ne se déplace pas, il obtient un nouveau bonus de +2 au Tir au round suivant. Cumulable avec Rock'n Roll et Tireur d'élite!</t>
  </si>
  <si>
    <t>Base 70/ Les Derniers Fils 25</t>
  </si>
  <si>
    <t>Le round après avoir consommé au moins 25ml d’alcool fort, la Vigueur passe au dé supérieur (et la Résistance gagne 1 pt). Ignore le malus d’un niv. de Blessure (cumulable avec d’autres capacités ou Atouts similaires). Si ivre: -2 aux jets basés sur l’Intellect et l’Agilité</t>
  </si>
  <si>
    <t>Don: Etoile Filante</t>
  </si>
  <si>
    <t>Dépense un jeton au début d'un combat pour augmenter le rayon d’action de Atouts de Commandement: Blanc: valeur égale à ton dé d’Âme. Rouge, la valeur sera égale à Âme × 2,  Bleu, elle sera égale à Âme ×4.</t>
  </si>
  <si>
    <t>----</t>
  </si>
  <si>
    <t>Dépense une pépite au début d'un combat pour augmenter le rayon d’action de Atouts de Commandement: Blanc: valeur égale à ton dé d’Âme. Rouge, la valeur sera égale à Âme × 2,  Bleu, elle sera égale à Âme ×4.</t>
  </si>
  <si>
    <t>Dépenses un jeton pour relancer un jet de Tripes:  Blanc: sans pénalité sauf Niveau de Peur local. Rouge: sans pénalité. Bleu: comme une rouge mais bénéficie aussi à un allié dans un rayon de AmeX2,5m.</t>
  </si>
  <si>
    <t>Dépenses une pépite pour relancer un jet de Tripes:  Blanc: sans pénalité sauf Niveau de Peur local. Rouge: sans pénalité. Bleu: comme une rouge mais bénéficie aussi à un allié dans un rayon de AmeX2,5m.</t>
  </si>
  <si>
    <t>Tu peux dépenser un Jeton pour utiliser le Pouvoir Préssentiment de manière totalement innée. Blanc  5 PP, rouge 1d6+5 PP (et ne permets pas au Marshal de piocher), bleu 2d6+5 Points de Pouvoir. Légendaire, comme bleu avec +2 pour activer le pouvoir.</t>
  </si>
  <si>
    <t>Tu peux lancer un sort unique de manière totalement inée sans composantes ni avoir à composer avec les manitous</t>
  </si>
  <si>
    <t>Tu peux utiliser un et un seul pouvoir (miracle, shaman ou vaudou) de manière inée avec un jet d'äme réussi. Blanc  5 PP, rouge 1d6+5 PP (le Marshal ne piocher pas), bleu 2d6+5 Points de Pouvoir. Légendaire, comme bleu avec +2 pour activer le pouvoir. Sur un 1, un manitou s'en mêle.</t>
  </si>
  <si>
    <t>Saint Patron/ Esprit Patron (très faible)</t>
  </si>
  <si>
    <t>Saint Patron/ Esprit Patron (très fort)</t>
  </si>
  <si>
    <t>Saint Patron/ Esprit Patron (moyen)</t>
  </si>
  <si>
    <t>Saint Patron/ Esprit Patron (faible)</t>
  </si>
  <si>
    <t>Saint Patron/ Esprit Patron (fort)</t>
  </si>
  <si>
    <t>Les Derniers Fils 26</t>
  </si>
  <si>
    <t>Esprit Totem</t>
  </si>
  <si>
    <t>Arcane: Chamane, Âme d8</t>
  </si>
  <si>
    <t>Si Relance pour lancer le pouvoir lié au totem chosi, lui fournit la moitié des PP (arrondi à l’inférieur). Le chamane doit au départ avoir les PP nécessaires pour le déclencher. Si n'a pas fait les offrandes rituelles, son esprit totem se coupe de lui pendant 1d6 jours.</t>
  </si>
  <si>
    <t>S'il réussit un jet d'Âme égal à 3X la valeur en points d'Apaisement pour lancer un sort, le coût en points d'Apaisement est diminué de moitié à condition d'avoir assez de points avant de lancer le sort.</t>
  </si>
  <si>
    <t>Estomac solide/ L'éléphant Blanc</t>
  </si>
  <si>
    <t>Dur à cuire, Tripes d8</t>
  </si>
  <si>
    <t>Diminue de 4 le résultat d'un jet sur la Table de Terreur p.144</t>
  </si>
  <si>
    <t>Les Derniers Fils 27</t>
  </si>
  <si>
    <t>Contacter le monde des esprits (Convocation d'esprit mineur)</t>
  </si>
  <si>
    <t>Contacter le monde des esprits (Convocation d'esprit normal)</t>
  </si>
  <si>
    <t>Contacter le monde des esprits (Voyage Spirituel)</t>
  </si>
  <si>
    <t>Contacter le monde des esprits (Voyage Spirituel de groupe)</t>
  </si>
  <si>
    <t>Contacter le monde des esprits (Portail)</t>
  </si>
  <si>
    <t>5+</t>
  </si>
  <si>
    <t>6+</t>
  </si>
  <si>
    <t>Permet de voyager sur et depuis les terres de chasse</t>
  </si>
  <si>
    <t>Le lanceur en appelle à un esprit mineur: jet en opposition d’Âme. Si le chamane échoue, l’esprit disparaît. Si échec critique, le lanceur subit une blessure en plus. Si réussite: l’esprit révèle ses capacités et le chamane peut lui demander un service.</t>
  </si>
  <si>
    <t>Le lanceur en appelle à un esprit majeur: jet en opposition d’Âme. Si le chamane échoue, l’esprit disparaît. Si échec critique, le lanceur subit une blessure en plus. Si réussite: l’esprit révèle ses capacités et le chamane peut lui demander un service.</t>
  </si>
  <si>
    <t>Les Derniers Fils 28</t>
  </si>
  <si>
    <t>Les Derniers Fils 29</t>
  </si>
  <si>
    <t>Permet au chamane de projeter son âme dans les Terres de chasse afin de contacter les esprits, de découvrir la solution à un épineux problème ou peut-être de voir les impressions laissées par les évènements passés. Dure 1d6 rounds.</t>
  </si>
  <si>
    <t>Permet au chamane (+ déAme compagnons) de projeter leur âme dans les Terres de chasse afin de contacter les esprits, de découvrir la solution à un épineux problème ou peut-être de voir les impressions laissées par les évènements passés. Dure 1d6 rounds.</t>
  </si>
  <si>
    <t>Chemise/chemisier/tunique en peau de daim</t>
  </si>
  <si>
    <t>Les Derniers fils 31</t>
  </si>
  <si>
    <t>Coiffe de guerre</t>
  </si>
  <si>
    <t>Bâton de coup</t>
  </si>
  <si>
    <t xml:space="preserve">Carquois </t>
  </si>
  <si>
    <t>Peyolt (6 boutons)</t>
  </si>
  <si>
    <t>Pot en argile</t>
  </si>
  <si>
    <t>Traineau</t>
  </si>
  <si>
    <t>Vélocipède à vapeur</t>
  </si>
  <si>
    <t>Couteau de botte</t>
  </si>
  <si>
    <t>Calcificateur ectoplasmique</t>
  </si>
  <si>
    <t>Voir Les Derniers Fils p.34</t>
  </si>
  <si>
    <t>Sp.</t>
  </si>
  <si>
    <t>Canne-pistolet</t>
  </si>
  <si>
    <t>Tir -2</t>
  </si>
  <si>
    <t>.42-45</t>
  </si>
  <si>
    <t>LeMat Undertaker (revolver)</t>
  </si>
  <si>
    <t>LeMat Undertaker (revolver  &amp; shotgun)</t>
  </si>
  <si>
    <t>Whitworth Mk.2</t>
  </si>
  <si>
    <t>Levier, Rechargement 2</t>
  </si>
  <si>
    <t>Grenade Rains (Mk.2)</t>
  </si>
  <si>
    <t>GM</t>
  </si>
  <si>
    <t>Saint office (évêque, grand prêtre, abbé)</t>
  </si>
  <si>
    <t>Deux mains gauches/ Maladresse</t>
  </si>
  <si>
    <t>Bonus cumulé de +2 en Perception à toute personne qui tente de déterminer si tu lances un sort.</t>
  </si>
  <si>
    <t>Bonus cumulé de +4 en Perception à toute personne qui tente de déterminer si tu lances un sort.</t>
  </si>
  <si>
    <t>Bonus cumulé de +6 en Perception à toute personne qui tente de déterminer si tu lances un sort.</t>
  </si>
  <si>
    <t>Bonus cumulé de +8 en Perception à toute personne qui tente de déterminer si tu lances un sort.</t>
  </si>
  <si>
    <t>Bonus cumulé de +10 en Perception à toute personne qui tente de déterminer si tu lances un sort.</t>
  </si>
  <si>
    <t>Allure réduite de 1, Force et Vigueur diminuées d'un type de dé (min d4), gagne 5 pts d’Aptitude d'Intellect</t>
  </si>
  <si>
    <t>-2 pts d’Allure, -2 à tous les jets de Vigueur et gagne 5 pts d’Aptitude de Connaissance</t>
  </si>
  <si>
    <t>-4 pts d’Allure, Vigueur réduite de 2 niveaux et gagne 10 pts d’Aptitude de Connaissance</t>
  </si>
  <si>
    <t>Allure réduite de 2, Force et Vigueur diminuées de deux types de dé (min d4), gagne 10 pts d’Aptitude d'Intellect</t>
  </si>
  <si>
    <r>
      <t xml:space="preserve">Le vétéran n’a pas fini son boulot ou a été marié à une veuve noire ou un tueur en série. Heureusement, il a pu s'enfuir de justesse mais l'ex-conjoint a décidé de lui faire la peau, quoiqu'il advienne, quelque chose le cherche et veut le voir mort. Ou pire. Le Marshal doit envoyer une vilaine bestiole aux trousses du pauvre type. Elle devrait être assez puissante, certainement un Joker et peut-être plus intelligente que forte. Elle pourra chercher à faire de la vie du héros un enfer au lieu de tout bêtement surgir du noir une nuit. Le personnage hérite du handicap </t>
    </r>
    <r>
      <rPr>
        <b/>
        <sz val="7"/>
        <rFont val="Arial"/>
        <family val="2"/>
      </rPr>
      <t>Ennemi (Majeur)</t>
    </r>
    <r>
      <rPr>
        <sz val="7"/>
        <rFont val="Arial"/>
        <family val="2"/>
      </rPr>
      <t>.</t>
    </r>
  </si>
  <si>
    <t>Possédé/ Hanté</t>
  </si>
  <si>
    <t>Omnubilé</t>
  </si>
  <si>
    <r>
      <t xml:space="preserve">À son insu le personnage  a subi la morsure d'un loup-garou ou est parfois momentanément possédé par un manitou, un fantôme, un ancêtre ou autre une créature. Quand cela te semble propice Marshal, dépense une pépite et fait faire un jet d'âme opposé, si  le personnage est conscient de son état. Pendant une heure ou deux le personnage sera ton jouet et se réveillera au petit matin, n'importe où, sans aucun souvenir de ce qui lui est arrivé. Si le personnage est un Détérré il gagne </t>
    </r>
    <r>
      <rPr>
        <b/>
        <sz val="8"/>
        <color theme="1"/>
        <rFont val="Arial"/>
        <family val="2"/>
      </rPr>
      <t>Hanté (moyennement)</t>
    </r>
    <r>
      <rPr>
        <sz val="8"/>
        <color theme="1"/>
        <rFont val="Arial"/>
        <family val="2"/>
      </rPr>
      <t xml:space="preserve"> à la place.</t>
    </r>
  </si>
  <si>
    <r>
      <t xml:space="preserve">Depuis un évènement ou il s'est joué de la mort, le pauvre héros a l'impression qu'elle la poursuit, qu'il est la cible d'une force maléfique qui essaie de le détruire et que le destin lui en veut personellement. Et bien félicitations, c'est exactement ça ! Il gagne le handicap </t>
    </r>
    <r>
      <rPr>
        <b/>
        <sz val="9"/>
        <rFont val="Arial"/>
        <family val="2"/>
      </rPr>
      <t>Force maléfique.</t>
    </r>
  </si>
  <si>
    <t>Destin troublé</t>
  </si>
  <si>
    <t>Ce flingueur a un gros problème avec les gremlins et diablotins. Ces saletés infestent chaque objet qu’il touche, y compris les armes et les objets mécaniques qui ne sont pas issus de la Science étrange. À chaque fois qu’il obtient un 1 sur son dé de Trait (et ce quel que soit le résultat de son dé Joker) quand il utilise un objet mécanique, celui-ci tombe en panne et est inutilisable tant que quelqu’un n’aura pas passé 2d6 heures à travailler dessus et réussi un jet de Réparation. Les vraies machines infernales, qui sont déjà enclines à tomber en panne, le font sur un jet de Compétence de 1 ou 2 !</t>
  </si>
  <si>
    <r>
      <t xml:space="preserve">Le personnage est connu et harcelé par une communauté (indien, chinois, etc.) pour un acte passé. À chaque rencontre, il sera la cible des quolibets et autres farces de mauvais goût. Il peut même arriver qu'une farce tourne au drame… Le personnage hérite du handicap </t>
    </r>
    <r>
      <rPr>
        <b/>
        <sz val="9"/>
        <rFont val="Arial"/>
        <family val="2"/>
      </rPr>
      <t>Expatrié/Etranger</t>
    </r>
    <r>
      <rPr>
        <sz val="9"/>
        <rFont val="Arial"/>
        <family val="2"/>
      </rPr>
      <t xml:space="preserve"> avec cette communauté.</t>
    </r>
    <r>
      <rPr>
        <sz val="9"/>
        <color rgb="FFFF0000"/>
        <rFont val="Arial"/>
        <family val="2"/>
      </rPr>
      <t/>
    </r>
  </si>
  <si>
    <t>Le Marshal récupère une pépite supplémentaire en début de chaque session où le personnage est présent.</t>
  </si>
  <si>
    <t>Le Marshal récupère un jeton supplémentaire en début de chaque session où le personnage est présent.</t>
  </si>
  <si>
    <t>Le niveau de terreur de l'endroit où il se trouve est augmenté de +1 tant que le héros est visible.</t>
  </si>
  <si>
    <t>Le niveau de terreur de l'endroit et le modificateur de prix de l'endroit où il se trouve est augmenté de +1 tant que le héros est visible.</t>
  </si>
  <si>
    <r>
      <t xml:space="preserve">Sans qu'il le sache, le Mal suit ce personnage comme la peste. Les lumières faiblissent, la température baisse quand il entre dans une pièce. En général, les gens s'éloignent sans demander leur reste et ont du mal à lui faire confiance. Il gagne le handicap </t>
    </r>
    <r>
      <rPr>
        <b/>
        <sz val="9"/>
        <rFont val="Arial"/>
        <family val="2"/>
      </rPr>
      <t>Porteur de désespoir</t>
    </r>
    <r>
      <rPr>
        <sz val="9"/>
        <rFont val="Arial"/>
        <family val="2"/>
      </rPr>
      <t xml:space="preserve"> et subit aussi ce léger désagrément !</t>
    </r>
  </si>
  <si>
    <t>Arcanes occultes</t>
  </si>
  <si>
    <r>
      <t xml:space="preserve">Le personnage est un oiseau de mauvaise augure, là ou il passe, la chance semble s'évanouir, le lait tourne, les ceintures se débouclent toute seules, le nombre des décès agumente… Sans que personne ne sache pourquoi, le Croque-mort du coin est son seul ami apparement... Le héros gagne le handicap </t>
    </r>
    <r>
      <rPr>
        <b/>
        <sz val="9"/>
        <rFont val="Arial"/>
        <family val="2"/>
      </rPr>
      <t>Porte-malheur</t>
    </r>
    <r>
      <rPr>
        <sz val="9"/>
        <rFont val="Arial"/>
        <family val="2"/>
      </rPr>
      <t>.</t>
    </r>
  </si>
  <si>
    <t>Sosie ou parent maléfique</t>
  </si>
  <si>
    <t>Le personnage a un sosie ou parent maléfique et recherché. (Bandit, Charlatan, tueur ou quiconque ayant une mauvaise réputation). Et celui-ci se pointe assez souvent pour que cela devienne rapidement gênant.</t>
  </si>
  <si>
    <t>Parfois, l'esprit de ce héros déraille légèrement. Il fait partie de ces gens-là, ceux qui voient des trucs qui ne sont pas vraiment là. Le personnage a des trous de mémoires sur son passé maléfique et des visions de celui-ci finissent par le rattraper. Le Marshal choisit quand se produisent ces hallucinations. Souvent, si possible…</t>
  </si>
  <si>
    <t>Une créature parasite se nourrit de la peur du héros et chaque fois que celui-ci rate un jet de tripes, il perd sa plus forte pépite. Inutile d'essayer d'enlever la vermine, elle revient automatiquement à chaque jet de tripes raté !</t>
  </si>
  <si>
    <t>Une créature parasite se nourrit de la peur du héros et chaque fois que celui-ci rate un jet de tripes, il perd on plus fort jeton.  Inutile d'essayer d'enlever la vermine, elle revient automatiquement à chaque jet de tripes raté !</t>
  </si>
  <si>
    <r>
      <t xml:space="preserve">Certaines saloperies s'accrochent. Le personnage est l'hôte d'un parasite bizarre qui ressemble à un gros ver blanc que l'on voit parfois se promener sous la peau. Le héros gagne le Handicap </t>
    </r>
    <r>
      <rPr>
        <b/>
        <sz val="9"/>
        <rFont val="Arial"/>
        <family val="2"/>
      </rPr>
      <t>Parasité.</t>
    </r>
  </si>
  <si>
    <r>
      <t xml:space="preserve">Le personnage a rencontré quelque chose qui l’a méchamment maudit: L’âme même du héros a été damnée par une vicieuse créature tout droit sortie d’un passé rempli de terreur. Il gagne le Handicap </t>
    </r>
    <r>
      <rPr>
        <b/>
        <sz val="9"/>
        <rFont val="Arial"/>
        <family val="2"/>
      </rPr>
      <t>Maudit/Malchanceux</t>
    </r>
    <r>
      <rPr>
        <sz val="9"/>
        <rFont val="Arial"/>
        <family val="2"/>
      </rPr>
      <t xml:space="preserve"> et s’il l’a déjà, il se prend le Handicap </t>
    </r>
    <r>
      <rPr>
        <b/>
        <sz val="9"/>
        <rFont val="Arial"/>
        <family val="2"/>
      </rPr>
      <t>Pas de Bol/ Aimant à problèmes (mineur)</t>
    </r>
    <r>
      <rPr>
        <sz val="9"/>
        <rFont val="Arial"/>
        <family val="2"/>
      </rPr>
      <t xml:space="preserve"> en sus.</t>
    </r>
  </si>
  <si>
    <t>Psychopathe</t>
  </si>
  <si>
    <t>Les interactions sociales du personnage s’effectuent à -2. Aucun miracle bénéfique ne fonctionne sur le héros mais la médecine tribale oui.</t>
  </si>
  <si>
    <r>
      <t xml:space="preserve">La bien a rejeté le personnage et l'a affublé de la </t>
    </r>
    <r>
      <rPr>
        <b/>
        <sz val="9"/>
        <color theme="1"/>
        <rFont val="Arial"/>
        <family val="2"/>
      </rPr>
      <t>Marque de Caïn.</t>
    </r>
    <r>
      <rPr>
        <sz val="9"/>
        <color theme="1"/>
        <rFont val="Arial"/>
        <family val="2"/>
      </rPr>
      <t xml:space="preserve"> C'est peut-être parce qu'il est vraiment </t>
    </r>
    <r>
      <rPr>
        <b/>
        <sz val="9"/>
        <color theme="1"/>
        <rFont val="Arial"/>
        <family val="2"/>
      </rPr>
      <t xml:space="preserve">Méchant comme un Teigne/Sale Caractère </t>
    </r>
    <r>
      <rPr>
        <sz val="9"/>
        <color theme="1"/>
        <rFont val="Arial"/>
        <family val="2"/>
      </rPr>
      <t>et a trop fréquenté la cité de Lost Angels?</t>
    </r>
  </si>
  <si>
    <t>Les animaux ne l’attaqueront pas, à moins d'être attaqués en premier où d'être enragés. Si un Familier meurt un autre le remplace au bout de 2d6 jours si la situation le permet.  Il dispose d’un tel magnétisme animal qu’une bête s’est attachée à lui (un chien, un loup, etc.). Au Marshal d’approuver.</t>
  </si>
  <si>
    <t>Antipathie animale</t>
  </si>
  <si>
    <r>
      <rPr>
        <sz val="9"/>
        <rFont val="Arial"/>
        <family val="2"/>
      </rPr>
      <t xml:space="preserve">Le personnage a dû être touché par l'Ange de la Mort, il émane de lui une aura de mort presque visible… Les animaux, les jeunes enfants et les vieillards qui se trouvent autour de lui sont traités comme s'ils avaient le handicap </t>
    </r>
    <r>
      <rPr>
        <b/>
        <sz val="9"/>
        <rFont val="Arial"/>
        <family val="2"/>
      </rPr>
      <t>Souffrant (majeur).</t>
    </r>
    <r>
      <rPr>
        <sz val="9"/>
        <rFont val="Arial"/>
        <family val="2"/>
      </rPr>
      <t xml:space="preserve"> S'ils quittent la proximité du personnage, ils ont besoin d'au moins un jour pour s'en remettre.</t>
    </r>
    <r>
      <rPr>
        <sz val="9"/>
        <color theme="3" tint="0.39997558519241921"/>
        <rFont val="Arial"/>
        <family val="2"/>
      </rPr>
      <t/>
    </r>
  </si>
  <si>
    <t>Rejeté par les Totems et Dame nature</t>
  </si>
  <si>
    <r>
      <t xml:space="preserve">Dans le passé du héros, un totem l’a maudit en mourant de par les agissements du héros. Le personnage récupère les handicap </t>
    </r>
    <r>
      <rPr>
        <b/>
        <sz val="9"/>
        <color theme="1"/>
        <rFont val="Arial"/>
        <family val="2"/>
      </rPr>
      <t>Douillet/ Petite nature</t>
    </r>
    <r>
      <rPr>
        <sz val="9"/>
        <color theme="1"/>
        <rFont val="Arial"/>
        <family val="2"/>
      </rPr>
      <t xml:space="preserve"> et </t>
    </r>
    <r>
      <rPr>
        <b/>
        <sz val="9"/>
        <color theme="1"/>
        <rFont val="Arial"/>
        <family val="2"/>
      </rPr>
      <t>Antipathie animale.</t>
    </r>
  </si>
  <si>
    <t>Joker Noir*</t>
  </si>
  <si>
    <t>Remords</t>
  </si>
  <si>
    <t>Chaque fois qu'il tue une créature (humain, animal et même abomination), le héros est secoué pendant 1d6 rounds. Le Marshall est libre d'ajouter un malus au jet d'âme s'il s'agit d'une mort particulièrement violente ou si plusieurs personnes meurent.</t>
  </si>
  <si>
    <r>
      <t xml:space="preserve">Ce héros a vu la mort droit dans les yeux et a vraiment goûté à la douleur. Il subit de plein fouet l'agonie de ses victimes. Il gagne le Handicap </t>
    </r>
    <r>
      <rPr>
        <b/>
        <sz val="9"/>
        <rFont val="Arial"/>
        <family val="2"/>
      </rPr>
      <t>Remords.</t>
    </r>
  </si>
  <si>
    <r>
      <t xml:space="preserve">*Pour plus de variété et des effets plus durs, vous pouvez à la place consulter la table étendue de </t>
    </r>
    <r>
      <rPr>
        <b/>
        <i/>
        <sz val="8"/>
        <color theme="1"/>
        <rFont val="Calibri"/>
        <family val="2"/>
        <scheme val="minor"/>
      </rPr>
      <t>Vétéran du Weird West</t>
    </r>
    <r>
      <rPr>
        <i/>
        <sz val="8"/>
        <color theme="1"/>
        <rFont val="Calibri"/>
        <family val="2"/>
        <scheme val="minor"/>
      </rPr>
      <t xml:space="preserve"> ci-dessous quand un Joker Noir est tiré.</t>
    </r>
  </si>
  <si>
    <t>13</t>
  </si>
  <si>
    <t>à cheval/ plateforme instable</t>
  </si>
  <si>
    <t>"La Voix" Apaisante</t>
  </si>
  <si>
    <t>S'il réussit un Test de Volonté face à un adversaire qui lui est adjacent, il reçoit immédiatement une attaque gratuite contre lui, mais ne subit aucune pénalité pour des actions multiples.</t>
  </si>
  <si>
    <t>Reçoit un uniforme, un fusil Winchester ‘73, une gamelle, un sac de couchage, un pistolet de l’Armée, 40 cartouches et un cheval (Si cavalier). +1 à son Charisme lorsqu’il a à faire à ceux qui respectent son autorité.</t>
  </si>
  <si>
    <t>Peut retenter un jet de Tripes manqué en utilisant son score de Ridiculiser. Le joueur doit donc dire à haute voix sa vacherie, être bâillonné ou incapable de parler l’empêche de profiter de cet Atout.</t>
  </si>
  <si>
    <t>Peut retenter un jet de Tripes manqué en utilisant son score de Sarcasmes. Le joueur doit donc dire à haute voix sa vacherie, être bâillonné ou incapable de parler l’empêche de profiter de cet Atout.</t>
  </si>
  <si>
    <t>Le Grand Labyrinthe 129 Hexarcana</t>
  </si>
  <si>
    <t>Ce style repose en grande partie sur les coups de pied, mais pas des coups de pied genre cancan. À Shan Fan, il est très populaire chez les spectateurs des différents tournois d’arts martiaux.</t>
  </si>
  <si>
    <t>Kung-fu céleste: Wing Chun</t>
  </si>
  <si>
    <t>Kung-fu supérieur: Wing Chun</t>
  </si>
  <si>
    <t>Quand tu dois subir un  Contrecoup ou une Séquelle, le Marshall fait deux jets et tu choisis lequel des deux appliquer</t>
  </si>
  <si>
    <t>Lorsqu'un allié sous ton commencement fait un Carton, il relance deux dés au lieu d'un.</t>
  </si>
  <si>
    <t>Œil de lynx</t>
  </si>
  <si>
    <t xml:space="preserve">Agilité d10, Extrêmement Rapide </t>
  </si>
  <si>
    <t>Permet de porter une atk sautée et de passer par-dessus son adversaire sans que l'adversaire ou ceux qui lui sont adjacent n'aient d'atk gratuite.</t>
  </si>
  <si>
    <t>Permet de porter une atk sautée et de passer par-dessus son adversaire sans que l'adversaire ou ceux qui lui sont adjacent n'aient d'atk gratuite. Voir détail le Déluge p.16</t>
  </si>
  <si>
    <t>Ce trait passe à d12+1. Cet Atout peut-être pris plusieurs fois mais ne peut s’appliquer deux fois au même Trait.</t>
  </si>
  <si>
    <t>Permet au personnage d'utiliser le Sort "Babioles" sans aucun prérequis en utilisant Âme à la place de Connaissances Occultisme pour ce sort.</t>
  </si>
  <si>
    <t>Renommée/Notable (une région)</t>
  </si>
  <si>
    <t>Renommée/Notable (une ville)</t>
  </si>
  <si>
    <t>Appelle un saint/Loa/esprit patron pour l'aider à maintenir ses miracles.  En échange d'un jeton: Blanc: durée X2;  rouge X3, bleu: X4 Légendaire:X5</t>
  </si>
  <si>
    <t>Appelle un saint/Loa/esprit patron pour l'aider à maintenir ses miracles.  En échange d'un jeton: Blanc: durée X3;  rouge X4, bleu: X5 Légendaire:X6</t>
  </si>
  <si>
    <t>Appelle un saint/Loa/esprit patron pour l'aider à maintenir ses miracles.  En échange d'un jeton: Blanc: durée X2 (+1 round);  rouge X3 (+2 rounds), bleu: X4 (+3 rounds) Légendaire:X6 (+3 rounds)</t>
  </si>
  <si>
    <t>Appelle un saint/Loa/esprit patron pour l'aider à maintenir ses miracles. En échange d'un jeton: Blanc: durée +1 round;  rouge +2 round, bleu: X2 Légendaire:X3</t>
  </si>
  <si>
    <t>Appelle un saint/Loa/esprit patron pour l'aider à maintenir ses miracles.  En échange d'un jeton: Blanc: durée X4;  rouge X5, bleu: X6 Légendaire:X7</t>
  </si>
  <si>
    <t>Bonus de +1 cumulatif aux jets de Vigueur et d'Encaissement pour éliminer les blessures</t>
  </si>
  <si>
    <t>Tant que le personnage ne se déplace pas, il obtient un bonus de +2 au Tir au round suivant. Cumulable avec Rock'n'roll!</t>
  </si>
  <si>
    <t>Tourments (Spleen embarrassant)</t>
  </si>
  <si>
    <t>Entouré de neige, de glace ou de désert: -1 en Perception. Doit réussir un jet de Vigueur à 7 toutes les heures ou aveugle pdt. 1d4h.</t>
  </si>
  <si>
    <t>Entouré de neige, de glace ou de désert: -1 en Perception. Doit réussir un jet de Vigueur ou aveugle pendant 1d4h.</t>
  </si>
  <si>
    <t>Prérequis</t>
  </si>
  <si>
    <t>Les animaux détestent le personnage et le fuient. Les chiens le grognent, les chevaux le désarçonnent dès qu'il rate un jet d'Equitation. -2 en Dressage, Attelage et Equitation.  Ne peut pas acheter les Atouts Don: Lien avec la nature, Don: Né sous la lune rousse, Familier, Homme des étendues Sauvages, Inodore, Lien Animal, ni Maître des Bêtes.</t>
  </si>
  <si>
    <t>Les animaux détestent le personnage et le fuient. Les chiens le grognent, les chevaux le désarçonnent dès qu'il rate un jet d'Equitation. -2 en Equitation et pour tous les tests visant au dressage. Ne peut pas acheter les Atouts Don: Lien avec la nature, Don: Né sous la lune rousse, Familier, Homme des étendues Sauvages, Inodore, Lien Animal, ni Maître des Bêtes.</t>
  </si>
  <si>
    <t>Le personnage a une croyance particulière totalement écœurante. Tous ses jets de persuasion sont à -3</t>
  </si>
  <si>
    <t>-2 cumulatif à tous les jets de Foi, y compris ceux pour invoquer les miracles</t>
  </si>
  <si>
    <t>Détectables de près sur un jet de Perception à 5, Equitation, dressage et attelage ont un malus de -2.</t>
  </si>
  <si>
    <t>Détectables de près sur un jet de Perception à 3, Equitation, dressage et attelage ont un malus de -2.</t>
  </si>
  <si>
    <t>Détectables à distance sur un jet de Perception à 7, Equitation, dressage et attelage ont un malus de -4.</t>
  </si>
  <si>
    <t>Détectables à distance sur un jet de Perception à 5, Equitation, dressage et attelage ont un malus de -6.</t>
  </si>
  <si>
    <t>-2 à tous ses jets d’Aptitudes sociales vis-à-vis des Indiens</t>
  </si>
  <si>
    <t>Quelqu’un d'extrêmement dangereux et/ou qui le traque en permanence en veut au personnage.</t>
  </si>
  <si>
    <t>Ne peut jamais se débarrasser de l'Etat Fatigué</t>
  </si>
  <si>
    <t>Ne peut jamais se débarrasser de l'Etat Fatigué et le malus augmente à -3</t>
  </si>
  <si>
    <t>Ne peut jamais se débarrasser de l'Etat Epuisé  et le malus augmente à -4</t>
  </si>
  <si>
    <t>Ne peut jamais se débarrasser de l'Etat Epuisé  et le malus augmente à -5</t>
  </si>
  <si>
    <t>Ne peut jamais se débarrasser de l'Etat Epuisé  et le malus augmente à -6</t>
  </si>
  <si>
    <t>Le Hukster a un objet ou rituel fétiche qui "l'aide" à lancer ses sorts: -3 au moment de lancer un sort si le huskter n'a pas son objet de focalisation ou le temps de réaliser son "rituel".</t>
  </si>
  <si>
    <t>Lorsque les cartes d'initiative ont été distribuées en combat,  après que le personnage est bénéficié des effets d'Atouts d'initiative. le Marshal peut dépenser une pépite pour échanger la carte reçue par le héros avec n'importe laquelle des siennes.</t>
  </si>
  <si>
    <t>-2 aux jets de Connaissance pour lesquels le personnage n'a pas la Concentration. (en gros il manque de Culture Générale)</t>
  </si>
  <si>
    <t>Le personnage considère les femmes comme des objets. Charisme -4 contre les femmes que cela incommode.</t>
  </si>
  <si>
    <t>Soustrait toujours 4 à ses jets de fatigue pour résister à l’effort physique. A la fin de chaque session de jeu, le personnage doit faire un jet de Vigueur. S’il le rate, le personnage meurt.</t>
  </si>
  <si>
    <t>Manie/Bizarrerie (simple indisposition)</t>
  </si>
  <si>
    <t>Manie/Bizarrerie (grave indisposition)</t>
  </si>
  <si>
    <t>Ton héros possède une bizarrerie très dérangeante qui lui cause des ennuis</t>
  </si>
  <si>
    <t>Manie/Bizarrerie (totalement écœurant)</t>
  </si>
  <si>
    <t>Le personnage a une sale manie totalement écœurante. Tous ses jets de persuasion sont à -3</t>
  </si>
  <si>
    <t>Le personnage a des obligations envers quelqu’un – armée, une ville, un employeur, etc.</t>
  </si>
  <si>
    <t>Panier Percé/Poches Percées</t>
  </si>
  <si>
    <t>-2 à tous les tests de Perception,(Détecter, pister, scruter entre autres) y compris ceux pour les tests de surprise.</t>
  </si>
  <si>
    <t>Crée une zone qui augmente les dégâts de toute personne au contact qui réussit une atk. Succès +2d6 dégâts, Relance +2d8 dégâts.</t>
  </si>
  <si>
    <t>Le personnage a 500$ supplémentaire en cash et 500$ à la banque. Il doit en rembouser 2000$ assez rapidement</t>
  </si>
  <si>
    <t>Le personnage débute avec 750$ de plus. Il devra rembouser 1500$ assez rapidement.</t>
  </si>
  <si>
    <t>Le personnage a 1000$ supplémentaire en cash et 2000$ à la banque; Il doit en rembouser 6000$ très vite ou sa tête sera mise à prix.</t>
  </si>
  <si>
    <t>Le personnage débute avec 2000$ de plus. Il devra rembouser 4000$ assez rapidement très vite ou sa tête sera mise à prix.</t>
  </si>
  <si>
    <t>Dette d'argent</t>
  </si>
  <si>
    <t>Dette d'argent (Grande)</t>
  </si>
  <si>
    <t>Chasseur de Primes</t>
  </si>
  <si>
    <t>Intellect d6, Pistage d8</t>
  </si>
  <si>
    <t>Le chasseur de primes obtient un bonus de +2 à tous ses jets de Pistage, de Connaissance et de Culture générale concernant la cible de sa chasse en cours.</t>
  </si>
  <si>
    <t>Le chasseur de primes obtient un bonus de +2 à tous ses jets de Scruter, Dénicher et de Connaissance concernant la cible de sa chasse en cours.</t>
  </si>
  <si>
    <t>Savage Firefly 19</t>
  </si>
  <si>
    <t>Gaélique</t>
  </si>
  <si>
    <t>Jeux de cartes marquées</t>
  </si>
  <si>
    <t>Ton fidèle compagnon a les caractéristiques d’un cheval de guerre et bénéficie de l’aptitude spéciale Nerfs d'acier. De plus, c’est un Joker. Si monture meurt, bénéfice perdu.</t>
  </si>
  <si>
    <t>Traditionelle aztèque</t>
  </si>
  <si>
    <t>Acclimaté au chaud</t>
  </si>
  <si>
    <t>Acclimaté au froid</t>
  </si>
  <si>
    <t>Augmente la température à laquelle le héros doit faire des jets de survie de 80°C à 100 °C. +2 à tous les autres jets de survie fait en température chaude extrême.</t>
  </si>
  <si>
    <t>Doomtown or Burst</t>
  </si>
  <si>
    <t>Permet au héros de supporter des températures aussi basses que -12 ° avant de risquer l'exposition et faire des jets de survie. +2 à tous les autres jets de survie fait en température froide extrême.</t>
  </si>
  <si>
    <t>Sang pâle</t>
  </si>
  <si>
    <t>Chaque fois qu’un héros au sang pâle échoue à un test de survie en raison du temps froid, il passe les 1d6 jours suivants à tousser, à éternuer et à produire du mucus: -1 à toutes les tâches pendant qu'il se traîne. En outre, si le héros échoue à un second test de survie ou qu'il obtient une catastrophe, il acquiert: Malade/Souffrant (léger)</t>
  </si>
  <si>
    <t>Chaque fois qu’un héros au sang pâle échoue à un test de survie en raison du temps froid, doit faire un jet Vigueur à 7. Si échec: 1d6 jours suivants à tousser, à éternuer et à produire du mucus: -1 à toutes les tâches pendant qu'il se traîne. En outre, si le héros échoue à un second test de survie ou qu'il obtient une catastrophe, il acquiert: Malade/Souffrant (léger)</t>
  </si>
  <si>
    <t>Doomtown or Burst 142</t>
  </si>
  <si>
    <t>Calotte glaciaire</t>
  </si>
  <si>
    <t>Doomtown 143</t>
  </si>
  <si>
    <t>Permet de recouvrir une surface de glace d'1 cm d'épaisseur: Paire 30cm², 2 Paires: 1m², Brelan 1,5m², Quinte: 3m², Flush: 7,5m², Full: 15m², Carré: 25m², Quinte flush: 50m², Royale Flush: 100m²</t>
  </si>
  <si>
    <t>Gelûre</t>
  </si>
  <si>
    <t xml:space="preserve">Tant que le sort fait effet, double les pénalités dûes aux blessures et inflige des dégâts de froid à une créature: Paire: 1d6; 2 paires: 2d6; Brelan: 3d6; Quinte: 4d6; Flush: 5d6; Carré ou mieux: 5d8 </t>
  </si>
  <si>
    <t>Badge de J.P Coleman</t>
  </si>
  <si>
    <t>+4 aux tests de Scuter et peut détecter un Détérré grâce à une jet de Perception à 5/Gagne les Handicaps  Hors-la-loi (un état) -2 et Revanchard/Rancunier</t>
  </si>
  <si>
    <t>Doomtown 63</t>
  </si>
  <si>
    <t>Fusil de la Sainte Roue</t>
  </si>
  <si>
    <t>Fusil: Dégâts 4d6 contre les Déttérés, les fantômes et les Abominations/ Handicap: Obligation (très contraignante): Détruire toutes les abominations</t>
  </si>
  <si>
    <t>Six-coups de Black Jack</t>
  </si>
  <si>
    <t>Doomtown 77</t>
  </si>
  <si>
    <t>Chaque six coups ajoute +2 en Intimider et pour toucher un adversaire (+4 au lieu de +2 contre Sweetrock Mining Company)/ Handicap: Ennemi (très courant ou très fort): Sweetrock -5</t>
  </si>
  <si>
    <t>Attrape Rêve de Joseph-Yeux-Comme-la-pluie</t>
  </si>
  <si>
    <t>+4 à la compétence appropriée pour réaliser un rituel indien, quiconque dort dans la même pièce aura toujours une nuit paisible et reposante/ Aucune</t>
  </si>
  <si>
    <t>Doomtown 96</t>
  </si>
  <si>
    <t>GhostBuster 21/ Doomtown 113</t>
  </si>
  <si>
    <t>Sabre de Stoker</t>
  </si>
  <si>
    <t>Sabre: dégâts FOR +2d12 contre le surnaturel même si immunisé aux dégâts physiques/ -6 à tous les jets de Persuasion et d'Autorité</t>
  </si>
  <si>
    <t>Doomtown 117</t>
  </si>
  <si>
    <r>
      <t xml:space="preserve">Le personnage s'est embarqué dans une sale affaire et ne doit sa survie qu'à l'intervention d'une communauté. Va savoir ce que ces leaders ont derrière la tête, toujours est-il que le personnage leur en doit une belle ! Il obtient le Handicap </t>
    </r>
    <r>
      <rPr>
        <b/>
        <sz val="8"/>
        <rFont val="Arial"/>
        <family val="2"/>
      </rPr>
      <t>Dette d'argent</t>
    </r>
    <r>
      <rPr>
        <sz val="8"/>
        <rFont val="Arial"/>
        <family val="2"/>
      </rPr>
      <t>.
Pour déterminer envers qui le personnage est débiteur, lancer 1d12 :
• 1 :loge franc maçonique de l'Union, • 2-3: triade chinoise de Shan Fan, • 4: triade chinoise de Kwan, • 5: triade chinoise de Kang, • 6-8: tribu indienne ,• 9 : famille Whateley, • 10: Cosa Nostra italienne, • 11 :Ku Kux Clan • 12 : Confrérie des Feniens</t>
    </r>
  </si>
  <si>
    <t>Origines</t>
  </si>
  <si>
    <t>(Ind.) Commonweatlh of California</t>
  </si>
  <si>
    <t>(Ind.) Mormon Republic of Deseret (Utah)</t>
  </si>
  <si>
    <t>(Contested) Colorado</t>
  </si>
  <si>
    <t>(Contested) Kansas</t>
  </si>
  <si>
    <t>Mexico</t>
  </si>
  <si>
    <t>(Indian) Sioux Nations (Dakota/ Oklahoma)</t>
  </si>
  <si>
    <t>China</t>
  </si>
  <si>
    <t>(USA) East Virginia</t>
  </si>
  <si>
    <t>(USA) Delaware / Maryland</t>
  </si>
  <si>
    <t>(USA) Massachusetts/ New Hampshire/ Vermont</t>
  </si>
  <si>
    <t>(USA) Virginia</t>
  </si>
  <si>
    <t>(CSA) North/South Carolina</t>
  </si>
  <si>
    <t>(CSA) South Carolina</t>
  </si>
  <si>
    <t>(USA) West Virginia</t>
  </si>
  <si>
    <t>(Contested) Kansas/ East Oklahoma</t>
  </si>
  <si>
    <t>(CSA) Texas/ Virginia</t>
  </si>
  <si>
    <t>(Russia) Russia</t>
  </si>
  <si>
    <t>(USA) Connecticut/ Rhode Island</t>
  </si>
  <si>
    <t>(USA)  New Jersey/ New York</t>
  </si>
  <si>
    <t>(UK Dominion) Canada</t>
  </si>
  <si>
    <t>1d6: Afganistan/ Iran/ Ottoman Empire/ Japan/ Korea/ Saudi Arabia</t>
  </si>
  <si>
    <t>1d10: Argentina/ Brazil/ Bolivia/ Chile/ Colombia/ Cuba/ Haiti/ Peru/ Porto Rico/ Venezuela</t>
  </si>
  <si>
    <t>(Europe) 1d4: Austria-Hungary/ Portugal/ Greece/ Switzerland</t>
  </si>
  <si>
    <t>(UK) 1d4: England/ Scotland/ Ireland/ Wales</t>
  </si>
  <si>
    <t>(Russia) Alaska/ Russia</t>
  </si>
  <si>
    <t>Coloniy of an european country other than United Kingdom</t>
  </si>
  <si>
    <t>(European colonists) 1d8: Belgium/ France/ Italy/ Netherlands/ Spain/ Danemark/ Norway-Sweden/ Germany</t>
  </si>
  <si>
    <t>(UK Dominion) 1d12: Australia/ Botswana/ Egypt/ India/ Kenya/ New Zealand/ Nigeria/ Pakistan/ Soudan/ South Africa/ Thailand</t>
  </si>
  <si>
    <t>Indien (Algonquin)</t>
  </si>
  <si>
    <t>Indien (Athabaskan)</t>
  </si>
  <si>
    <t>Indien (Caddoan)</t>
  </si>
  <si>
    <t>Indien (Siouan)</t>
  </si>
  <si>
    <t>Indien (Shoshone)</t>
  </si>
  <si>
    <t>Indien (Hokan)</t>
  </si>
  <si>
    <t>Qté</t>
  </si>
  <si>
    <t>Coût unitaire C</t>
  </si>
  <si>
    <t>Poids unitaire C</t>
  </si>
  <si>
    <t>Poids unitaire J</t>
  </si>
  <si>
    <t>Coût unitaire J</t>
  </si>
  <si>
    <t>Poids unitaire R</t>
  </si>
  <si>
    <t>Coût unitaire R</t>
  </si>
  <si>
    <t>Courrir (m/ round): Malus de -4 aux jets</t>
  </si>
  <si>
    <t>L'Ouest Etrange</t>
  </si>
  <si>
    <t>Chemins de Fer</t>
  </si>
  <si>
    <t>Ferrailleur</t>
  </si>
  <si>
    <t>Le héros entre en jeu avec une ou plusieurs Augmentations (voir p. 29) déjà opérationnelles. Choisis celles qui te plaisent; le Drain total qu’elles infligent ne doit pas dépasser la moitié du type de dé de Vigueur de ton cow-boy. Tous leurs effets s’appliquent, mais ils n’ont aucune influence sur le type de dé d’Âme du personnage. Le Ferrailleur subit un malus de -2 à son Charisme, -4 parmi ceux qui considèrent les augmentations comme une «abomination».</t>
  </si>
  <si>
    <t>Ton personnage commence le jeu avec une ou plusieurs augmentations mécaniques fonctionelles. Choisis celles qui te plaisent; le Drain total qu’elles infligent ne doit pas dépasser la moitié du type de dé de Vigueur de ton cow-boy. Tous leurs effets s’appliquent, mais ils n’ont aucune influence sur le type de dé d’Âme du personnage. Le Ferrailleur subit un malus de -2 à son Charisme, -4 parmi ceux qui considèrent les augmentations comme une «abomination».</t>
  </si>
  <si>
    <t>De Bonnes Intentions 19</t>
  </si>
  <si>
    <t>Focalisation/Fétiche (faible)</t>
  </si>
  <si>
    <t>Focalisation/Fétiche (moyen)</t>
  </si>
  <si>
    <t>Focalisation/Fétiche (fort)</t>
  </si>
  <si>
    <t>La Mort aux Trousses 17</t>
  </si>
  <si>
    <t>Quelle que soit la nature de l'objet, le personnage subit une pénalité de -1 à tous ses jets de Compétence magique s’il ne l’a pas sur lui.</t>
  </si>
  <si>
    <t>Quelle que soit la nature de l'objet, le personnage subit une pénalité de -2 à tous ses jets de Compétence magique s’il ne l’a pas sur lui.</t>
  </si>
  <si>
    <t>Quelle que soit la nature de l'objet, le personnage subit une pénalité de -4 à tous ses jets de Compétence magique s’il ne l’a pas sur lui.</t>
  </si>
  <si>
    <t>Fais pas chier/ Ne l'énerve surtout pas!</t>
  </si>
  <si>
    <t>Conversion 8/ La Mort aux Trousses 18</t>
  </si>
  <si>
    <t>Ventile plus vite que son ombre/ Apprenti Pistolero</t>
  </si>
  <si>
    <t>Ventile encore plus vite que son ombre/ Pistolero</t>
  </si>
  <si>
    <t>Ventile plus vite que son ombre/ Apprenti Pistolero, Combat à 2 armes, Tir d10</t>
  </si>
  <si>
    <t>Peut jouer Tireur d'Elite sur 2 cibles différents ou tirer avec des pistolets double action comme s'ils avaient CdT2. Toutes les règles de Tir automatique s'appliquent (Tir -2 et deux cartouches par attaque)</t>
  </si>
  <si>
    <t>La Mort aux Trousses 18</t>
  </si>
  <si>
    <t>Agilité d8, Tireur d'Elite, Johnny Deux flingues/Combat à deux armes, Tir d10</t>
  </si>
  <si>
    <t>Indien, Agilité d8, Equitation d6</t>
  </si>
  <si>
    <t>+2 en Equitation, peut dépenser des Jetons pour les jets d'encaissement de n'importe quel cheval qu'il monte s'il est lui-même en selle.</t>
  </si>
  <si>
    <t>Joker, Âme d6</t>
  </si>
  <si>
    <t>Le personnage est un détérré.</t>
  </si>
  <si>
    <t>Doit manger 1X/24h l’aliment peu répugnant, ou réussir un jet de Vigeur ou perdre un niveau de Fatigue qui subsiste jusqu'à ce qu'il ait mangé son plat préfféré.</t>
  </si>
  <si>
    <t>Doit manger 2X/24h l’aliment peu répugnant, ou réussir un jet de Vigeur à -1 ou perdre un niveau de Fatigue qui subsiste jusqu'à ce qu'il ait mangé son plat préfféré.</t>
  </si>
  <si>
    <t>La Mort aux Trousses 20</t>
  </si>
  <si>
    <t>Alimentation répugnante/Appétit contre nature</t>
  </si>
  <si>
    <t>Doit manger 1X/48h l’aliment peu répugnant, ou réussir un jet de Vigeur ou perdre un niveau de Fatigue qui subsiste jusqu'à ce qu'il ait mangé son plat préfféré.</t>
  </si>
  <si>
    <t>Doit manger 1X/jour l’aliment peu répugnant très courant, ou perdre 2 points de Souffle par jour</t>
  </si>
  <si>
    <t>Doit manger 1X/jour l’aliment répugnant courant, ou perdre 2 points de Souffle par jour</t>
  </si>
  <si>
    <t>Doit manger 2X/jour l’aliment très répugnant ou 1x/jour un aliment répugant peu courant, ou perdre 2 points de Souffle par jour</t>
  </si>
  <si>
    <t>Doit manger 2X/jour l’aliment vraiment très répugnant ou 1x/jour un aliment répugant rare, ou perdre 4 points de Souffle par jour</t>
  </si>
  <si>
    <t>Doit manger 2X/jour l’aliment plus que répugnant ou 1x/jour un aliment répugant vraiment très rare, ou perdre 8 points de Souffle par jour</t>
  </si>
  <si>
    <t>Doit manger 2X/24h l’aliment répugnant rare, ou réussir un jet de Vigeur à -2 ou perdre un niveau de Fatigue qui subsiste jusqu'à ce qu'il ait mangé son plat préfféré.</t>
  </si>
  <si>
    <t>Doit manger 2X/24h l’aliment répugnant très rare, ou réussir un jet de Vigeur à -4 ou perdre un niveau de Fatigue qui subsiste jusqu'à ce qu'il ait mangé son plat préfféré.</t>
  </si>
  <si>
    <t>-2 en Charisme et en Equitation, leur présence fait faner plantes et fleurs, les fruits et légumes se gâtent, les animaux reculent devant eux.</t>
  </si>
  <si>
    <t>-1 en Charisme et en Equitation, leur présence fait faner plantes et fleurs, les fruits et légumes se gâtent, les animaux reculent devant eux.</t>
  </si>
  <si>
    <t>-3 en Charisme et en Equitation, leur présence fait faner plantes et fleurs, les fruits et légumes se gâtent, les animaux reculent devant eux.</t>
  </si>
  <si>
    <t>-4 en Charisme et en Equitation, leur présence fait faner plantes et fleurs, les fruits et légumes se gâtent, les animaux reculent devant eux.</t>
  </si>
  <si>
    <t>-5 en Charisme et en Equitation, leur présence fait faner plantes et fleurs instantanément, les fruits et légumes se gâtent à vue, les animaux fuient avant qu'ils n'arrivent à eux</t>
  </si>
  <si>
    <t>La Chair du Détérré exsude un liquide poisseaux qui pue la charogne à soulever le coeur. Détectables sur une jet de Perception à +2</t>
  </si>
  <si>
    <t>La Chair du Détérré est affreusement pâle et ses yeux sont vitreux. Détectables sur un jet de Perception à +1</t>
  </si>
  <si>
    <t>La Mort aux Trousses 21</t>
  </si>
  <si>
    <t>D'aspect presque normal, les Détérrés de ce type sont détectables à distance sur un jet de Perception</t>
  </si>
  <si>
    <t>Le Détérré est boursouflé et distendu par les gazs et fluides pestilentiels. Détectables sur un jet de Perception à +3. Provoque des jets de Peur.</t>
  </si>
  <si>
    <t>Le Détérré sème derrière lui de petis bouts de chair écoeurants. Détectables sur un jet de Perception à +5, Equitation et les tests pour le dressage et l'attelage impossibles. Provoque des jets de Terreur.</t>
  </si>
  <si>
    <t>Le Détérré n'a plus que peu de pilosité, sa chair est tirée sur ses os. Détectables sur un jet de Perception à +3. Equitation et les tests pour le dressage et l'attelage presque impossibles. Provoque des jets de Terreur.</t>
  </si>
  <si>
    <t>-1 cumulatif au modificateur de Contrôle du Manitou quand il veut prendre les commandes (Voir p.216)</t>
  </si>
  <si>
    <t>-2 cumulatif au modificateur de Contrôle du Manitou quand il veut prendre les commandes (Voir p.216)</t>
  </si>
  <si>
    <t>-3 cumulatif au modificateur de Contrôle du Manitou quand il veut prendre les commandes (Voir p.216)</t>
  </si>
  <si>
    <t>-4 cumulatif au modificateur de Contrôle du Manitou quand il veut prendre les commandes (Voir p.216)</t>
  </si>
  <si>
    <t>-5 cumulatif au modificateur de Contrôle du Manitou quand il veut prendre les commandes (Voir p.216)</t>
  </si>
  <si>
    <t>La Mort aux Trousses 22</t>
  </si>
  <si>
    <t>Un adversaire peut te détecter en tant que Déterré sur un jet d'Arcanes ou de Connaissance (Occultisme) opposé à ta dé d'Ame. Si le test réussi, il perçoit le parasite qui est en toi.</t>
  </si>
  <si>
    <t>Anesthésie</t>
  </si>
  <si>
    <t>Sortillero?</t>
  </si>
  <si>
    <t>Neutralise 1pt de pénalité de Blassure, 2 sur une Relance ainsi que les résultats temporaires obtenus sur la Table des Blessures</t>
  </si>
  <si>
    <t>La Mort aux Trousses 33</t>
  </si>
  <si>
    <t>Tireur</t>
  </si>
  <si>
    <t>Selon l'arme</t>
  </si>
  <si>
    <t>Voir le descriptif complet de toutes les balles qu'ils est possible de construire dans la Mort aux Trousses p.35</t>
  </si>
  <si>
    <t>La Mort aux Trousses 35</t>
  </si>
  <si>
    <t>Tueur Né</t>
  </si>
  <si>
    <t>Arcanes: Sorcellerie, Sorcellerie d6</t>
  </si>
  <si>
    <t>Le sortillero peut maintenir les pouvoirs Augmentation de Tir, Frappe et Visée sur son arme de prédilection sans pénalité aux autres jets de Sorcellerie. Il doit cependant toujours payer leur coût en PP.</t>
  </si>
  <si>
    <t>Sortillero</t>
  </si>
  <si>
    <t>Sorcellerie</t>
  </si>
  <si>
    <t>Arcane (sortillero)</t>
  </si>
  <si>
    <t>Capable de faire appel à des puissances surnaturelles dues aus runes nordiques</t>
  </si>
  <si>
    <t>Capable de faire appel à des puissances surnaturelles dues aux runes nordiques</t>
  </si>
  <si>
    <t>La Mort aux Trousses 30</t>
  </si>
  <si>
    <t>Tir d8, Joker</t>
  </si>
  <si>
    <t>Arcane (magie du métal)</t>
  </si>
  <si>
    <t>Joker, Intellect d6</t>
  </si>
  <si>
    <t>Capable de faire appel à des puissances surnaturelles grâce à la Diffusion thaumaturgique</t>
  </si>
  <si>
    <t>Capable de faire appel à des puissances surnaturelles  grâce à la Diffusion thaumaturgique</t>
  </si>
  <si>
    <t>De Bonnes Intentions 20</t>
  </si>
  <si>
    <t>Diffusion thaumaturgique</t>
  </si>
  <si>
    <t>Magie du métal</t>
  </si>
  <si>
    <t>Araignée</t>
  </si>
  <si>
    <t>Le Détérré obtient le pouvoir Adhérence. Il a un malus de -2 à tous ses autres jets de Trait tant qu'il maintient cet Atout actif.</t>
  </si>
  <si>
    <t>La Mort aux Trousses</t>
  </si>
  <si>
    <t>Tant qu'il maintient sa Concentration active, le personnage peut marcher sur le mus ou au plafond sans soucis.</t>
  </si>
  <si>
    <t>Barbelés Spirituels</t>
  </si>
  <si>
    <t>Cauchemar</t>
  </si>
  <si>
    <t>Crée une barrière qui contre les esprits frappeurs, les fantômes et autres entités éthérées. Réaliser un jet d'âme: la zone protégée est égale Gabarit moyen centré sur sa personne. Pour entrer dans le cercle, l'entité éthérée doit battre le jet d'Âme du Détérré.</t>
  </si>
  <si>
    <t>La Mort aux Trousses 23</t>
  </si>
  <si>
    <t>Pire Cauchemar</t>
  </si>
  <si>
    <t>La cible doit réussir un jet de Tripes contre le SD de Terreur imposé par la main du Détérré: As: 3 Paire: 5 2 Paires: 7 Brelan: 9 Quinte: 11 Flush: 13. Les Détérrés ont un malus de -2 sur ce jet.</t>
  </si>
  <si>
    <t>Le M-V doit regarder sa victime et réussir une épreuve de Volonté en opposition. La victime perd un Jeton de son choix et est affligée du Handicap Mauvais rêves pendant 2d6+1 nuits ou 1d6+1semaines sur une Relance. En cas d'échec le Détérré ne peut plus utiliser ce pouvoir sur la même personne jusqu'à ce qu'elle ait dormi. Cet Atout ne peut servir qu'une fois par jour.</t>
  </si>
  <si>
    <t>La Mort aux Trousses 24</t>
  </si>
  <si>
    <t>Détérré, Cauchemar</t>
  </si>
  <si>
    <t>Clique Impie</t>
  </si>
  <si>
    <t>La Clique donne à ton Détérré cinq disciples détérrés qui servent à ses côtés comme tu le souhaites. Ils ont les caractéristiques d’un Détérré. Cet Atout ne peut être choisi qu’une fois.</t>
  </si>
  <si>
    <t>Voir Deadlands La Mort aux Trousses p.24</t>
  </si>
  <si>
    <t>Communiquer avec les morts</t>
  </si>
  <si>
    <t>Communiquer avec les vieux morts</t>
  </si>
  <si>
    <t>Contorsion Cadavérique</t>
  </si>
  <si>
    <t>Détérré, Communiquer avec les morts</t>
  </si>
  <si>
    <t>La Mort aux Trousses 25</t>
  </si>
  <si>
    <t>La Mort aux Trousses 26</t>
  </si>
  <si>
    <t>Grâce à ce pouvoir et en réussissant un jet d'Âme, un Détérré peut se glisser à travers une ouverture d'un diamètre à peu près équivalent à celui de sa tête. Il subit 2 Blessures automatiques qu'il ne peut pas encaisser. Pour se glisser dans un espace d'environ 10cm de diamètre,  Il subit 2d6 points de dégâts automatiques à la tête qu'il ne peut pas encaisser.</t>
  </si>
  <si>
    <t>Les Dents du Petit Poucet</t>
  </si>
  <si>
    <t>Toutes les Dents du Petit Poucet</t>
  </si>
  <si>
    <t>Emprunte du Diable</t>
  </si>
  <si>
    <t>Fantôme</t>
  </si>
  <si>
    <t>Haleine Fétide</t>
  </si>
  <si>
    <t>Imitation</t>
  </si>
  <si>
    <t>Localisation de cadavre</t>
  </si>
  <si>
    <t>Main du mort</t>
  </si>
  <si>
    <t>Masque Mortuaire</t>
  </si>
  <si>
    <t>Masque Mortuaire Supérieur</t>
  </si>
  <si>
    <t>Tant que le morceau du Détérré (comme un dent ou un os) se trouve dans un rayon de 16km autour de lui il peut en action gratuite déterminer la direction dans laquelle il est et la distance approximative à laquelle il s'en trouve. Si le Détérré en perd la trace, il le localisera à nouveau s'il revient à portée.</t>
  </si>
  <si>
    <t>La Mort aux trousses 26</t>
  </si>
  <si>
    <t>Détérré, Les Dents du Petit Poucet</t>
  </si>
  <si>
    <t>Tant que le morceau du Détérré (comme un dent ou un os) se trouve dans un rayon de 1600 km autour de lui il peut en action gratuite déterminer la direction dans laquelle il est et la distance approximative à laquelle il s'en trouve. Si le Détérré en perd la trace, il le localisera à nouveau s'il revient à portée. Il peut tracer un nombre de morceaux égàl à sa valeur de dé d'Âme.</t>
  </si>
  <si>
    <t>Détérré, Masque Mortuaire</t>
  </si>
  <si>
    <t>Détérré, Persuasion d8</t>
  </si>
  <si>
    <t>Permet grâce à un jet d'Âme, en action gratuite et au toucher de mettre un gadget ou une machine infernale en panne. S'il le réussit l'appareil tombe en passe sur un 1 ou un 2 (ou un 3 avec une Relance) sur le jet de Trait durant 1d6 rounds quel que soit le réusultat du dé Joker.</t>
  </si>
  <si>
    <t>Le Détérré obtient le sort Détraquer: Cause un mauvais fonctionnement dans un objet de Science folle. Paire: test de fiabilité (TN+2), Valets: test de fiabilité (TN+4), 2P: Mauvais fonctionnement mineur, Brelan:Mauvais fonctionnement majeur, Flush ou mieux: Catastrophe!</t>
  </si>
  <si>
    <t>Le Détérré lance un jet d'Âme opposé à la Vigueur de sa cible. En cas dé réussite, la victime subit 1 niveau de Fatigue, 2 sur une Relance. Chacun de ses niveaux disparaitra après avoir respiré 1d6 heures au grand air. Au-delà du contact, tout le monde dans la pièce fronce le nez et retient sa respiration jusqu'à ce que l'odeur s'évacue.</t>
  </si>
  <si>
    <t>Le Détérré lance un jet d'Âme opposé à la Vigueur de sa cible. En cas dé réussite, la victime perd 4 points de souffle, 8 sur une Relance. Chaque point de souffle ainsi perdu revient après une demi-heure à respirer au grand air. Au-delà du contact, tout le monde dans la pièce fronce le nez et retient sa respiration jusqu'à ce que l'odeur s'évacue.</t>
  </si>
  <si>
    <t>Permet de copier un pouvoir de huckster, sortillero, détérré, magie noire ou Science Etrange dont il vient d'être témoin. Le Détérré doit surpasser le lanceur originel dans un jet d'Âme opposé pour obtenir une et une seule utilisation immédiate de ce Pouvoir (avant la fin du combat sur une Relance)</t>
  </si>
  <si>
    <t>Permet de déterminer la localisation du cadavre humain le plus proche (y compris s'il s'agit d'un Détérré)sur un jet d'Âme à -2 réussi. Sur une Ralence il a également une vague idée de la distance.</t>
  </si>
  <si>
    <t>La Mort aux trousses 27</t>
  </si>
  <si>
    <t>Permet de conserver l'apparence qu'il avait de son vivant. Les gens subissent un malus de -4 à leur jet de Perception quand il s'agit de déterminer si le personnage n'est pas mort. Toutefois maintenir ce pouvoir demande de maintenir sa concentration et inflige un malus de -2 à tous les autres jets. S'il est Bléssé ou Secour doit réussir un jet d'äme à -2 pour maintenir le déguisement.</t>
  </si>
  <si>
    <t>La Mort aux trousses 28</t>
  </si>
  <si>
    <t>Permet de conserver l'apparence qu'il avait de son vivant. Les gens subissent un malus de -4 à leur jet de Perception quand il s'agit de déterminer si le personnage n'est pas mort. Cela ne nécéssite plus de rester concentré.</t>
  </si>
  <si>
    <t>Possession</t>
  </si>
  <si>
    <t>Possession Majeure</t>
  </si>
  <si>
    <t>Détérré, Possession</t>
  </si>
  <si>
    <t>Le Détérré obtient le pouvoir Marionette et doit juste réussir un jet d'Âme opposé pour le déclencher. Il a un malus de -2 à tous ses autres jets de Trait tant qu'il maintient cet Atout actif.</t>
  </si>
  <si>
    <t>Le Détérré obtient le pouvoir Marionette et doit juste réussir un jet d'Âme opposé pour le déclencher. Il n'a plus de malus tant qu'il maintient cet Atout actif.</t>
  </si>
  <si>
    <t>Permet de devenir immatériel, d'ignorer les attaques physiques et de traverser les murs et solides au prix de Souffle à chaque round: Niv.1: 5 souffle, Niv.2: 4 souffle, Niv.3: 3 souffle, Niv.4: 2 souffle: Niv.5: 1 souffle,</t>
  </si>
  <si>
    <t>Le Détérré obtient le sort A mon tour: Permet de copier à la perfetion un sort lancé lors du même round dans un rayon de 5mX Niv. de maitrise. Ne permet pas de coipier les miracles ni les faveurs.</t>
  </si>
  <si>
    <t xml:space="preserve">Le Détérré obtient le pouvoir Intangibilité/ Spectral/ Fantôme et doit juste réussir un jet d'Âme opposé pour le déclencher. Il a un malus de -2 à tous ses autres jets de Trait tant qu'il maintient cet Atout actif. </t>
  </si>
  <si>
    <t>Rapide comme la mort</t>
  </si>
  <si>
    <t>Le Détérré peut utiliser les sorts Rapide comme le loup et Rapide comme le jaguar.</t>
  </si>
  <si>
    <t>Repos des morts</t>
  </si>
  <si>
    <t>Rigidité cadavérique</t>
  </si>
  <si>
    <t>Silence des morts</t>
  </si>
  <si>
    <t>Terrier</t>
  </si>
  <si>
    <t>Vision spirituelle</t>
  </si>
  <si>
    <t>Vision Spirituelle</t>
  </si>
  <si>
    <t>Le Détérré obtient le pouvoir Rapidité Surnaturelle. Immédiatement après l'utilisation ne Détérré doit réussir un jet de Vigueur à -2 ou subir un niveau de Fatigue qui ne disparaitra qu'après 1h de repos.</t>
  </si>
  <si>
    <t>La Mort aux Trousses 28</t>
  </si>
  <si>
    <t>Le Détérré obtient le pouvoir Sommeil, mais uniquement au contact. Il doit toucher sa victime et réussir un jet d'Âme opposé pour le déclencher. En cas de Relance la vitime à un malus de -2 à son jet d'äme pour Résister et dormira 1d6 heures.</t>
  </si>
  <si>
    <t>Le Détérré peut utiliser le sort Marchand de Sable.</t>
  </si>
  <si>
    <t>Si le Détérré est au contact avec la peau nue da sa victime, il peut lancer un jet d'Âme opposé. Si'l prend l'aventage, le malheureux subit 1 niveau de Fatigue (2 sur une Relance). Si la cible fait un 1 sur son jet d'Âme celle-ci fait une crise cardiaque (voir Table de Terreur)</t>
  </si>
  <si>
    <t>Le Détérré peut utiliser les sorts Essoufflement et Etourdissement.</t>
  </si>
  <si>
    <t>Le Détérré peut utiliser le sort Barrière Invisible.</t>
  </si>
  <si>
    <t>Discrétion d8</t>
  </si>
  <si>
    <t>Le Détérré peut utiliser les sorts Gentil Toutou, L'appel sauvage/ L'appel de la forêt, Oreille Indiscrète, Œil indiscret et Planer avec les aigles.</t>
  </si>
  <si>
    <t>Le Détérré peut utiliser les sorts Gentil Toutou, L'appel sauvage/ L'appel de la forêt, Oreille Indiscrète, Œil indiscret et Planer avec les aigles et ils fonctionnent aussi sur les humains et toute créature douée de conscience.</t>
  </si>
  <si>
    <t>Tant que ses pieds sont en contact avec le sol, le Détérré a un bonus de +2 en Discrétion (+4 sur de la terre nue). Ne fonctionne pas sur les planchers, le bois ou la pierre.</t>
  </si>
  <si>
    <t>+2 à tous les jets impliquant Pister, Survie, Discrétion et le déplacement à travers la forêt uniquement.</t>
  </si>
  <si>
    <t>Le Détérré peut utiliser le sort Enfouissement</t>
  </si>
  <si>
    <t>La Mort aux trousses 29</t>
  </si>
  <si>
    <t xml:space="preserve">Si'l réussit un jet d'Âme, le Détérré peut voir à travers les yeux de son manitou dans le monde spirituel qui l'entoure; Il peut maintenir cet atout tant qu'il reste Concentré, sa vision cesse s'il est Bléssé ou Secoué; </t>
  </si>
  <si>
    <t>Jet opposé Combat:Bagarre/Âme pour prendre à la gorge et drainer: Niv.1: Le souffle volé renfloue celui du Déttéré 1 pour 1. Niv.3: 5 pts de Souffle régénèrent 1 niv. de blessure/1 zone; Niv.5: 5 pts de Souffle: Force +1.</t>
  </si>
  <si>
    <t>Un Déterré ayant ce pouvoir subit un dé de dégâts de moins de la part du feu, bien qu’il puisse toujours s’enflammer s’il y est exposé. De plus, s’il réussit un jet d’Âme, il peut attiser ou éteindre un feu à volonté. Sur un Joker, il peut l’éteindre ou le faire exploser.</t>
  </si>
  <si>
    <t>Un Déterré ayant ce pouvoir subit un dé de dégâts de moins de la part du froid. De plus, s’il réussit un jet d’Âme, il peut diminuer la température ambiante, de 8° à 16° Quiconque expérimente ce froid surnaturel doit faire un jet de Tripes. Les témoins de cette scène devront faire un jet de Tripes avec une pénalité de -2.</t>
  </si>
  <si>
    <t>Dététté</t>
  </si>
  <si>
    <t>Si le personnage ne fait rien d’autre que se concentrer pendant trois rounds consécutifs, il peut convoquer une nuée d’insectes.</t>
  </si>
  <si>
    <t>Réparation de fortune</t>
  </si>
  <si>
    <t>Mage de métal?</t>
  </si>
  <si>
    <t>Si le personnage réussit un jet de Diffusion thaumaturgique, une machine infernale ne subira que les pannes mineures ou majeures pendant la durée du sort. Sur une Relance uniquement les pannes mineures.</t>
  </si>
  <si>
    <t>De bonnes intentions 23</t>
  </si>
  <si>
    <t>Le Détérré obtient le pouvoir Apparition. Il a un malus de -2 à tous ses autres jets de Trait tant qu'il maintient cet Atout actif.</t>
  </si>
  <si>
    <t>Le Détérré obtient le pouvoir Feu de l'Enfer et doit juste réussir un jet d'Âme opposé pour le déclencher.</t>
  </si>
  <si>
    <t>Le Détérré obtient le pouvoir Froid de la Tombe et doit juste réussir un jet d'Âme opposé pour le déclencher.</t>
  </si>
  <si>
    <t>Griffes/Serres</t>
  </si>
  <si>
    <t>Le Détérré obtient le pouvoir Yeux de chat. Il doit réussir un jet d'Âme opposé pour le déclencher.</t>
  </si>
  <si>
    <t>Surjet/ Suture</t>
  </si>
  <si>
    <t>Le Détérré obtient les pouvoirs Suture au niveau Novice puis le pouvoir Surjet au niveau Vétéran et doit juste réussir un jet d'Âme.</t>
  </si>
  <si>
    <t>Le Détérré obtient le pouvoir Enfouissement et doit juste réussir un jet d'Âme. Il a un malus de -2 à tous ses autres jets de Trait tant qu'il maintient cet Atout actif. Immédiatement après l'utilisation ne Détérré doit réussir un jet de Vigueur à -2 ou subir un niveau de Fatigue qui ne disparaitra qu'après 1h de repos. Les vers, la poussière et les saletés qui le recouvrent donnent un bonus de +2 en Perception pour remarquer son état de Détérré.</t>
  </si>
  <si>
    <t>Le Détérré obtient le pouvoir Griffes au niveau Novice puis Serres au niveau Vétéran. Il doit juste réussir un jet d'Âme pour les déclencher.</t>
  </si>
  <si>
    <t>Jet opposé d'Âme pour prendre à la gorge et drainer la victime d'un Rang de Fatigue, 2 sur une Relance.</t>
  </si>
  <si>
    <t>Dévoreur d'Âme</t>
  </si>
  <si>
    <r>
      <t>Le personnage possède un avantage "</t>
    </r>
    <r>
      <rPr>
        <b/>
        <sz val="9"/>
        <rFont val="Arial"/>
        <family val="2"/>
      </rPr>
      <t>Arcane</t>
    </r>
    <r>
      <rPr>
        <sz val="9"/>
        <rFont val="Arial"/>
        <family val="2"/>
      </rPr>
      <t>" (Occulte, Vaudou ou Magie du Sang). Si c'est à son ainsu, il peut être révélé sur un jet d'Astuce ou Âme difficile (9). Toutefois sa magie est toujours corrompue par les manitous, donc rarement  "propre" et comme il est en plus</t>
    </r>
    <r>
      <rPr>
        <b/>
        <sz val="9"/>
        <rFont val="Arial"/>
        <family val="2"/>
      </rPr>
      <t xml:space="preserve"> Discret comme pas un (fortemment), </t>
    </r>
    <r>
      <rPr>
        <sz val="9"/>
        <rFont val="Arial"/>
        <family val="2"/>
      </rPr>
      <t>cela n'attire que des ennuis...</t>
    </r>
  </si>
  <si>
    <r>
      <t xml:space="preserve">Le personnage s'est mêlé à la grande guerre du rail. Les aléas ont fait qu'il s'est sali les mains et que l'un des barons du rail a un petit dossier le concernant. Il est invité de temps à autres à donner des petits coups de mains à la compagnie concernée. Il obtient le Handicap </t>
    </r>
    <r>
      <rPr>
        <b/>
        <sz val="9"/>
        <rFont val="Arial"/>
        <family val="2"/>
      </rPr>
      <t>Dette d'argent</t>
    </r>
    <r>
      <rPr>
        <sz val="9"/>
        <rFont val="Arial"/>
        <family val="2"/>
      </rPr>
      <t>. Pour déterminer quel baron fait chanter le personnage, lancer 1d10 : • 1 : Bayou Vermillon, • 2 : Black River, • 3 : Dixie Rails/Lone Star, • 4 : Iron Dragon, • 5 : Union Blue/Empire Rails, • 6 : Wasatch,  •7: Denver-Pacific,  •8: Kansas City-Little Rock, •9: Canadian Pacific,  •10: Hudson Bay Company</t>
    </r>
  </si>
  <si>
    <r>
      <t xml:space="preserve">Pour une raison obscure, par accident, le personnage a fait un pacte avec les forces du mal elles-memes: Les Derniers Fils. Il a obtenu un </t>
    </r>
    <r>
      <rPr>
        <b/>
        <sz val="9"/>
        <rFont val="Arial"/>
        <family val="2"/>
      </rPr>
      <t>Atout de Détérré</t>
    </r>
    <r>
      <rPr>
        <sz val="9"/>
        <rFont val="Arial"/>
        <family val="2"/>
      </rPr>
      <t xml:space="preserve"> mais est tenu en échange, et pas que par les couilles, par un des serviteurs des 4 Juges eux-mêmes de rembourser cette dette quoiqu'il lui en coûte et c'est rarement du propre. lancer 1d4: • 1 : Guerre, • 2 : Famine, • 3 : Pestilence, • 4 : Mort</t>
    </r>
  </si>
  <si>
    <r>
      <t>Le héros a à son ainsu un avantage "</t>
    </r>
    <r>
      <rPr>
        <b/>
        <sz val="9"/>
        <color theme="1"/>
        <rFont val="Arial"/>
        <family val="2"/>
      </rPr>
      <t>Petit Riche</t>
    </r>
    <r>
      <rPr>
        <sz val="9"/>
        <color theme="1"/>
        <rFont val="Arial"/>
        <family val="2"/>
      </rPr>
      <t xml:space="preserve">" ou une </t>
    </r>
    <r>
      <rPr>
        <b/>
        <sz val="9"/>
        <color theme="1"/>
        <rFont val="Arial"/>
        <family val="2"/>
      </rPr>
      <t>relique</t>
    </r>
    <r>
      <rPr>
        <sz val="9"/>
        <color theme="1"/>
        <rFont val="Arial"/>
        <family val="2"/>
      </rPr>
      <t xml:space="preserve"> défini par le Marshal. Cet héritage maudit, précieux et mystérieux n'attire que des ennuis et des problèmes. </t>
    </r>
  </si>
  <si>
    <t>Identité Secrète</t>
  </si>
  <si>
    <t>Un héros qui choisi cet Atout dispose d'une fausse identité. Il bénéficie en général d'un bonus de +2 en Persuasion pour continuer à embobiner les gens.</t>
  </si>
  <si>
    <t>Sabir</t>
  </si>
  <si>
    <t>Après quelques minutes de conversation, ce héros peut lancer un d4 dans n'importe quelle langue. Il a aussi un bonus de +1 sur tous les jets de Connaissance (langue) dans lesquelles il a déjà un score de 4 ou plus.</t>
  </si>
  <si>
    <t>Arcane (élu)</t>
  </si>
  <si>
    <t>Arcanes (élu), Âme d8, Force d6, Vigueur d8, Foi d6, Combat d8</t>
  </si>
  <si>
    <t>Peut devenir élu, mais ne peut plus devenir Chamane</t>
  </si>
  <si>
    <t>Choisis Arcanes (élu, anahuac et aztèque) ou (Chamanisme). Lorsqu’il est la cible d’un pouvoir d’autres Arcanes, ce cow-boy peut se défausser d’un Jeton pour en annuler les effets et obliger le lanceur à réussir un jet d’Âme ou être Secoué.</t>
  </si>
  <si>
    <t>Arcanes: élu, Âme d8, Foi d6</t>
  </si>
  <si>
    <t>Arcanes (élu) ou Arcanes (Illumination/Maitrise du Chi), Foi d8, Combat d8</t>
  </si>
  <si>
    <t>Arcanes: élu, Âme d12, Foi d12</t>
  </si>
  <si>
    <t>Arcanes: élu, Âme d10, Foi d10</t>
  </si>
  <si>
    <t>Arcanes: élu, Âme d8, Foi d8</t>
  </si>
  <si>
    <t>Arcanes :élu, Âme d6, Foi d6</t>
  </si>
  <si>
    <t>(Arcanes: élu ou Arcanes: Vaudou ou Arcanes: Anahuac), Âme d8</t>
  </si>
  <si>
    <t>(Arcanes: élu ou Arcanes: Vaudou ou Arcanes: Anahuac), Âme d12</t>
  </si>
  <si>
    <t>(Arcanes: élu ou Arcanes: Vaudou ou Arcanes: Anahuac), Âme d10</t>
  </si>
  <si>
    <t>(Arcanes: élu ou Arcanes: Vaudou ou Arcanes: Anahuac), Âme d6</t>
  </si>
  <si>
    <t>(Arcanes: élu ou Arcanes: Vaudou ou Arcanes: Anahuac), Âme d12+2</t>
  </si>
  <si>
    <t>Arcane: élu, Âme d6, Foi d6</t>
  </si>
  <si>
    <t>Ne peut avoir Arcane :croyant</t>
  </si>
  <si>
    <t>Ne peut avoir Arcane :Elu</t>
  </si>
  <si>
    <t>Joker, Foi d4, Âme d8</t>
  </si>
  <si>
    <t>Ce héros bénéficie diminue de 1 le coût d'activation de tous ses pouvoirs.</t>
  </si>
  <si>
    <t>Désensibilisé</t>
  </si>
  <si>
    <t>Ferrailleur, Augmentations totalisant un Drain à 4+</t>
  </si>
  <si>
    <t>Un ferrailleur doté de cet atout ignore un niveau de Blessure. Il peut conférer cela avec Nerfs d'acier et Nerfs d'acier trempé.</t>
  </si>
  <si>
    <t>Maître artisan</t>
  </si>
  <si>
    <t>Arcanes (Science Folle), Débrouillard, Réparation d10, Science Folle d10</t>
  </si>
  <si>
    <t>Peut fabriquer des machines infernales ou des déconctions issues de la Science Folle en quelques semaines. Elaborer un plan: 1d6 jours; Elaborer une Recette: 2d6 heures + Acheter des pièces détachées ou ingrédients (Moitié du coût normal de l'objet), + Construire 2d6jours +1j/500*$ (pour un objet), Mijoter 2d6h+1h/50*$ pour une potion.</t>
  </si>
  <si>
    <t>Nous avons la technologie!</t>
  </si>
  <si>
    <t>Âme d8, Vigueur d8, Ferrailleur</t>
  </si>
  <si>
    <t>Le robuste ferrailleur gagne +2 à sa Résistance inée mais uniquement quand il s'agit de déterminer si ses augmentations provoquent de la Fatigue.</t>
  </si>
  <si>
    <t>De Bonnes Intentions 21</t>
  </si>
  <si>
    <t>Déluge</t>
  </si>
  <si>
    <t>Interdiction (don)/ Déni</t>
  </si>
  <si>
    <t>Flamme purificatrice/ Feu de l'Enfer</t>
  </si>
  <si>
    <t>Fléau/ Plaie</t>
  </si>
  <si>
    <t>Fait s’abattre le courroux divin sur la région choisie par le Croyant. Cette Intervention Divine affecte une zone d’un mile de diamètre par point de Foi du Héros: Ténèbres, Pestilence, Vermine, Eau en sang,…</t>
  </si>
  <si>
    <t>Communion/ Divination</t>
  </si>
  <si>
    <t xml:space="preserve">Communion permet au Croyant de poser une question et une seule à son dieu dont la réponse doit être "Oui", "Non" ou "Peut-être". Ce dernier répond toujours la vérité. </t>
  </si>
  <si>
    <t>Pourrissement/ Flétrissure</t>
  </si>
  <si>
    <t>Guérison/ Imposition des Mains</t>
  </si>
  <si>
    <t>Grand pacificateur/ Pacification</t>
  </si>
  <si>
    <t>Courroux divin/ Fureur du juste</t>
  </si>
  <si>
    <t>3 Rounds</t>
  </si>
  <si>
    <t>Permet au Croyant (et à 1 compagnon par points de Foi/Âme au-dessus de 1), de s’envoler. Ils peuvent se déplacer horizontalement à une Allure de 6, et verticalement à une Allure de 1.</t>
  </si>
  <si>
    <t>Lorsqu’un adversaire du Croyant se retrouve sous le coup de l’Interdiction, il perd (presque) complètement l’une de ses Aptitudes, choisie par le Croyant. Toutes les Concentrations sont également affectées</t>
  </si>
  <si>
    <t>Permet de demander au dieu de créer un objet magique permanent.</t>
  </si>
  <si>
    <t>Divination</t>
  </si>
  <si>
    <t>Ce pouvoir nécessite un rituel durant une
heure complète à la fi n de laquelle l’arcaniste
fait un jet de Arcane. Il peut alors poser une
question simple de type oui-non à une entité
supérieure en cas de succès, et une question
supplémentaire par Relance sur le jet d’Arcane.
Le MJ peut choisir de ne pas répondre, ou de répondre par des phrases énigmatiques. L’arcaniste ne peut pas lancer plus d’une fois le pouvoir de Divination plus d’une fois par jour.</t>
  </si>
  <si>
    <t>Forme éthérée</t>
  </si>
  <si>
    <t>L’arcaniste devient Immatériel. Il ne peut se rendre visible que s’il a obtenu une Relance sur son jet d’Arcane, et ne peut aff ecter le monde physique que s’il a obtenu deux Relances.</t>
  </si>
  <si>
    <t>Postcognition</t>
  </si>
  <si>
    <t>2km de rayon ou moins</t>
  </si>
  <si>
    <t>En ouvrant son esprit aux fl ux d’énergie psychiques, l’utilisateur de ce pouvoir peut entrevoir les évènements passés. Il peut choisir de réduire l’aire d’eff et à un rayon de 100m en subissant un malus de -2, et à un Grand Gabarit avec un malus de -4. Avec un succès, le personnage est témoins d’un déchainement de mémoires rémanentes des évènements importants écoulés dans les 10 dernières années. Chaque Relance permet à l’arcaniste de remonter plus loin dans le passé (à l’appréciation du MJ). A noter qu’un évènement majeur, dramatique ou chargé d’émotion ressortira toujours en premier, peu importe l’ancienneté de l’évènement, et sera visible avec un simple Succès.
Après une telle lecture, l’arcaniste peut faire
un jet d’Intellect pour tenter d’extraire des
informations pertinentes de ces mémoires.
Chaque Relance permet d’obtenir une information
supplémentaire. Avoir réduit l’aire
d’eff et du pouvoir lors de l’incantation permet
de bénéfi cier d’un bonus de +2 ou +4 au jet
d’Intellect.</t>
  </si>
  <si>
    <t>Nouveaux pouvoirs 7</t>
  </si>
  <si>
    <t>Secours/ Récupération</t>
  </si>
  <si>
    <t>Ce pouvoir permet de réparer les dégâts infligés aux objets et aux structures faits de bois, métal ou pierre. L’arcaniste doit se concentrer durant une action complète, puis lance le sort
durant l’action suivante, avec pour malus au jet d’Arcane le nombre de Blessures de l’objet. Le coût en PP est égal à la moitié de la Résistance de base de l’objet (sans tenir compte de l’Armure et des bonus magiques). Si ces valeurs ne sont pas connues, le MJ attribuera un cout approximatif (1-3 pour la plupart des objets, 4-6 pour les structures et bâtiments en bois, 7-10 pour les bâtiments en pierre, 11-15 pour les châteaux). Un Succès permet de réparer une Blessure, une Relance deux.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</si>
</sst>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90" x14ac:knownFonts="1">
    <font>
      <sz val="11"/>
      <color theme="1"/>
      <name val="Calibri"/>
      <family val="2"/>
      <scheme val="minor"/>
    </font>
    <font>
      <sz val="11"/>
      <color theme="0"/>
      <name val="Calibri"/>
      <family val="2"/>
      <scheme val="minor"/>
    </font>
    <font>
      <sz val="8"/>
      <color theme="1"/>
      <name val="Calibri"/>
      <family val="2"/>
      <scheme val="minor"/>
    </font>
    <font>
      <sz val="9"/>
      <color theme="1"/>
      <name val="Calibri"/>
      <family val="2"/>
      <scheme val="minor"/>
    </font>
    <font>
      <sz val="11"/>
      <name val="Calibri"/>
      <family val="2"/>
      <scheme val="minor"/>
    </font>
    <font>
      <sz val="6"/>
      <color theme="1"/>
      <name val="Calibri"/>
      <family val="2"/>
      <scheme val="minor"/>
    </font>
    <font>
      <sz val="4"/>
      <color theme="0"/>
      <name val="Calibri"/>
      <family val="2"/>
      <scheme val="minor"/>
    </font>
    <font>
      <i/>
      <sz val="8"/>
      <color theme="0"/>
      <name val="Calibri"/>
      <family val="2"/>
      <scheme val="minor"/>
    </font>
    <font>
      <sz val="9"/>
      <color theme="0"/>
      <name val="Calibri"/>
      <family val="2"/>
      <scheme val="minor"/>
    </font>
    <font>
      <i/>
      <sz val="6"/>
      <color theme="1"/>
      <name val="Calibri"/>
      <family val="2"/>
      <scheme val="minor"/>
    </font>
    <font>
      <sz val="10"/>
      <color theme="1"/>
      <name val="Calibri"/>
      <family val="2"/>
      <scheme val="minor"/>
    </font>
    <font>
      <b/>
      <sz val="11"/>
      <color theme="1"/>
      <name val="Calibri"/>
      <family val="2"/>
      <scheme val="minor"/>
    </font>
    <font>
      <sz val="11"/>
      <color theme="1"/>
      <name val="Calibri"/>
      <family val="2"/>
      <scheme val="minor"/>
    </font>
    <font>
      <sz val="5"/>
      <color theme="1"/>
      <name val="Calibri"/>
      <family val="2"/>
      <scheme val="minor"/>
    </font>
    <font>
      <sz val="8"/>
      <color theme="0"/>
      <name val="Calibri"/>
      <family val="2"/>
      <scheme val="minor"/>
    </font>
    <font>
      <sz val="12"/>
      <color theme="1"/>
      <name val="Calibri"/>
      <family val="2"/>
      <scheme val="minor"/>
    </font>
    <font>
      <sz val="12"/>
      <color rgb="FFFF0000"/>
      <name val="Calibri"/>
      <family val="2"/>
      <scheme val="minor"/>
    </font>
    <font>
      <i/>
      <sz val="8"/>
      <color theme="1"/>
      <name val="Calibri"/>
      <family val="2"/>
      <scheme val="minor"/>
    </font>
    <font>
      <sz val="8"/>
      <name val="Arial"/>
      <family val="2"/>
    </font>
    <font>
      <sz val="4"/>
      <color theme="1"/>
      <name val="Calibri"/>
      <family val="2"/>
      <scheme val="minor"/>
    </font>
    <font>
      <sz val="10"/>
      <color theme="0"/>
      <name val="Calibri"/>
      <family val="2"/>
      <scheme val="minor"/>
    </font>
    <font>
      <sz val="11"/>
      <color theme="1"/>
      <name val="Calibri"/>
      <family val="2"/>
    </font>
    <font>
      <sz val="6"/>
      <color theme="0"/>
      <name val="Calibri"/>
      <family val="2"/>
      <scheme val="minor"/>
    </font>
    <font>
      <sz val="4"/>
      <name val="Calibri"/>
      <family val="2"/>
      <scheme val="minor"/>
    </font>
    <font>
      <sz val="7"/>
      <color theme="1"/>
      <name val="Calibri"/>
      <family val="2"/>
      <scheme val="minor"/>
    </font>
    <font>
      <b/>
      <sz val="9"/>
      <color indexed="81"/>
      <name val="Tahoma"/>
      <family val="2"/>
    </font>
    <font>
      <sz val="11"/>
      <color theme="0"/>
      <name val="Snow ttnorm"/>
    </font>
    <font>
      <sz val="11"/>
      <color theme="1"/>
      <name val="Snow ttnorm"/>
    </font>
    <font>
      <sz val="9"/>
      <color theme="1"/>
      <name val="Snow ttnorm"/>
    </font>
    <font>
      <sz val="4"/>
      <color theme="0"/>
      <name val="Snow ttnorm"/>
    </font>
    <font>
      <sz val="9"/>
      <color theme="0"/>
      <name val="Snow ttnorm"/>
    </font>
    <font>
      <b/>
      <u/>
      <sz val="10"/>
      <color theme="1"/>
      <name val="Snow ttnorm"/>
    </font>
    <font>
      <b/>
      <u/>
      <sz val="11"/>
      <color theme="1"/>
      <name val="Snow ttnorm"/>
    </font>
    <font>
      <sz val="6"/>
      <color theme="0"/>
      <name val="Snow ttnorm"/>
    </font>
    <font>
      <sz val="10"/>
      <color theme="0"/>
      <name val="Snow ttnorm"/>
    </font>
    <font>
      <sz val="8"/>
      <color theme="0"/>
      <name val="Snow ttnorm"/>
    </font>
    <font>
      <sz val="5"/>
      <color theme="0"/>
      <name val="Snow ttnorm"/>
    </font>
    <font>
      <sz val="7"/>
      <color theme="0"/>
      <name val="Snow ttnorm"/>
    </font>
    <font>
      <b/>
      <u/>
      <sz val="8"/>
      <color theme="1"/>
      <name val="Snow ttnorm"/>
    </font>
    <font>
      <b/>
      <sz val="11"/>
      <color theme="1"/>
      <name val="Snow ttnorm"/>
    </font>
    <font>
      <b/>
      <sz val="8"/>
      <color theme="1"/>
      <name val="Snow ttnorm"/>
    </font>
    <font>
      <i/>
      <sz val="10"/>
      <color theme="1"/>
      <name val="Calibri"/>
      <family val="2"/>
      <scheme val="minor"/>
    </font>
    <font>
      <sz val="11"/>
      <color rgb="FFFF0000"/>
      <name val="Calibri"/>
      <family val="2"/>
      <scheme val="minor"/>
    </font>
    <font>
      <b/>
      <sz val="10"/>
      <color theme="0"/>
      <name val="Snow ttnorm"/>
    </font>
    <font>
      <b/>
      <sz val="18"/>
      <color theme="1"/>
      <name val="Calibri"/>
      <family val="2"/>
      <scheme val="minor"/>
    </font>
    <font>
      <b/>
      <sz val="18"/>
      <color rgb="FFFF0000"/>
      <name val="Calibri"/>
      <family val="2"/>
      <scheme val="minor"/>
    </font>
    <font>
      <b/>
      <sz val="12"/>
      <color theme="1"/>
      <name val="Calibri"/>
      <family val="2"/>
      <scheme val="minor"/>
    </font>
    <font>
      <b/>
      <sz val="10"/>
      <color rgb="FFFFFF00"/>
      <name val="Arial"/>
      <family val="2"/>
    </font>
    <font>
      <b/>
      <sz val="10"/>
      <color theme="0"/>
      <name val="Calibri"/>
      <family val="2"/>
    </font>
    <font>
      <b/>
      <sz val="8"/>
      <color theme="1"/>
      <name val="Calibri"/>
      <family val="2"/>
      <scheme val="minor"/>
    </font>
    <font>
      <sz val="12"/>
      <color theme="0"/>
      <name val="Calibri"/>
      <family val="2"/>
      <scheme val="minor"/>
    </font>
    <font>
      <sz val="9"/>
      <name val="Calibri"/>
      <family val="2"/>
      <scheme val="minor"/>
    </font>
    <font>
      <b/>
      <sz val="11"/>
      <color theme="0"/>
      <name val="Snow ttnorm"/>
    </font>
    <font>
      <b/>
      <sz val="6"/>
      <color theme="1"/>
      <name val="Snow ttnorm"/>
    </font>
    <font>
      <b/>
      <sz val="11"/>
      <name val="Snow ttnorm"/>
    </font>
    <font>
      <sz val="6"/>
      <name val="Calibri"/>
      <family val="2"/>
      <scheme val="minor"/>
    </font>
    <font>
      <sz val="7"/>
      <name val="Calibri"/>
      <family val="2"/>
      <scheme val="minor"/>
    </font>
    <font>
      <i/>
      <sz val="5"/>
      <name val="Snow ttnorm"/>
    </font>
    <font>
      <i/>
      <sz val="10"/>
      <color theme="0"/>
      <name val="Calibri"/>
      <family val="2"/>
      <scheme val="minor"/>
    </font>
    <font>
      <sz val="14"/>
      <color theme="0"/>
      <name val="Snow ttnorm"/>
    </font>
    <font>
      <b/>
      <sz val="10"/>
      <name val="Calibri"/>
      <family val="2"/>
      <scheme val="minor"/>
    </font>
    <font>
      <b/>
      <sz val="8"/>
      <color rgb="FFFF0000"/>
      <name val="Calibri"/>
      <family val="2"/>
    </font>
    <font>
      <b/>
      <sz val="8"/>
      <color rgb="FFFF0000"/>
      <name val="Snow ttnorm"/>
    </font>
    <font>
      <b/>
      <sz val="14"/>
      <color theme="1"/>
      <name val="Calibri"/>
      <family val="2"/>
      <scheme val="minor"/>
    </font>
    <font>
      <sz val="14"/>
      <color theme="1"/>
      <name val="Calibri"/>
      <family val="2"/>
      <scheme val="minor"/>
    </font>
    <font>
      <b/>
      <i/>
      <sz val="10"/>
      <color theme="0"/>
      <name val="Calibri"/>
      <family val="2"/>
    </font>
    <font>
      <sz val="5"/>
      <name val="Calibri"/>
      <family val="2"/>
      <scheme val="minor"/>
    </font>
    <font>
      <sz val="9"/>
      <color indexed="81"/>
      <name val="Tahoma"/>
      <family val="2"/>
    </font>
    <font>
      <sz val="9"/>
      <name val="Arial"/>
      <family val="2"/>
    </font>
    <font>
      <b/>
      <sz val="9"/>
      <name val="Arial"/>
      <family val="2"/>
    </font>
    <font>
      <b/>
      <sz val="11"/>
      <name val="Calibri"/>
      <family val="2"/>
      <scheme val="minor"/>
    </font>
    <font>
      <b/>
      <sz val="9"/>
      <color rgb="FFFF0000"/>
      <name val="Arial"/>
      <family val="2"/>
    </font>
    <font>
      <sz val="9"/>
      <color rgb="FFFF0000"/>
      <name val="Arial"/>
      <family val="2"/>
    </font>
    <font>
      <b/>
      <strike/>
      <sz val="11"/>
      <color rgb="FF7030A0"/>
      <name val="Calibri"/>
      <family val="2"/>
      <scheme val="minor"/>
    </font>
    <font>
      <sz val="9"/>
      <color rgb="FF00B050"/>
      <name val="Arial"/>
      <family val="2"/>
    </font>
    <font>
      <sz val="9"/>
      <color rgb="FF7030A0"/>
      <name val="Arial"/>
      <family val="2"/>
    </font>
    <font>
      <strike/>
      <sz val="9"/>
      <color rgb="FF7030A0"/>
      <name val="Arial"/>
      <family val="2"/>
    </font>
    <font>
      <sz val="9"/>
      <color theme="1"/>
      <name val="Arial"/>
      <family val="2"/>
    </font>
    <font>
      <b/>
      <sz val="9"/>
      <color theme="1"/>
      <name val="Arial"/>
      <family val="2"/>
    </font>
    <font>
      <sz val="9"/>
      <color theme="3" tint="0.39997558519241921"/>
      <name val="Arial"/>
      <family val="2"/>
    </font>
    <font>
      <strike/>
      <sz val="11"/>
      <color theme="1"/>
      <name val="Calibri"/>
      <family val="2"/>
      <scheme val="minor"/>
    </font>
    <font>
      <sz val="7"/>
      <name val="Arial"/>
      <family val="2"/>
    </font>
    <font>
      <b/>
      <sz val="7"/>
      <name val="Arial"/>
      <family val="2"/>
    </font>
    <font>
      <sz val="8"/>
      <color theme="1"/>
      <name val="Arial"/>
      <family val="2"/>
    </font>
    <font>
      <b/>
      <sz val="8"/>
      <color theme="1"/>
      <name val="Arial"/>
      <family val="2"/>
    </font>
    <font>
      <b/>
      <i/>
      <sz val="8"/>
      <color theme="1"/>
      <name val="Calibri"/>
      <family val="2"/>
      <scheme val="minor"/>
    </font>
    <font>
      <b/>
      <sz val="8"/>
      <name val="Arial"/>
      <family val="2"/>
    </font>
    <font>
      <sz val="8"/>
      <name val="Calibri"/>
      <family val="2"/>
      <scheme val="minor"/>
    </font>
    <font>
      <b/>
      <sz val="9"/>
      <color theme="1"/>
      <name val="Calibri"/>
      <family val="2"/>
      <scheme val="minor"/>
    </font>
    <font>
      <b/>
      <sz val="6"/>
      <color theme="1"/>
      <name val="Calibri"/>
      <family val="2"/>
      <scheme val="minor"/>
    </font>
  </fonts>
  <fills count="17">
    <fill>
      <patternFill patternType="none"/>
    </fill>
    <fill>
      <patternFill patternType="gray125"/>
    </fill>
    <fill>
      <patternFill patternType="solid">
        <fgColor theme="1"/>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rgb="FF6CFB25"/>
        <bgColor indexed="64"/>
      </patternFill>
    </fill>
    <fill>
      <patternFill patternType="solid">
        <fgColor theme="8" tint="0.79998168889431442"/>
        <bgColor indexed="64"/>
      </patternFill>
    </fill>
    <fill>
      <patternFill patternType="solid">
        <fgColor theme="1"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5" tint="0.799981688894314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ck">
        <color auto="1"/>
      </left>
      <right/>
      <top/>
      <bottom/>
      <diagonal/>
    </border>
    <border>
      <left style="thin">
        <color indexed="64"/>
      </left>
      <right style="thick">
        <color auto="1"/>
      </right>
      <top style="thin">
        <color indexed="64"/>
      </top>
      <bottom style="medium">
        <color indexed="64"/>
      </bottom>
      <diagonal/>
    </border>
    <border>
      <left/>
      <right style="medium">
        <color auto="1"/>
      </right>
      <top style="thin">
        <color indexed="64"/>
      </top>
      <bottom/>
      <diagonal/>
    </border>
    <border>
      <left/>
      <right style="thin">
        <color indexed="64"/>
      </right>
      <top/>
      <bottom style="thin">
        <color indexed="64"/>
      </bottom>
      <diagonal/>
    </border>
    <border>
      <left style="medium">
        <color auto="1"/>
      </left>
      <right style="medium">
        <color auto="1"/>
      </right>
      <top/>
      <bottom/>
      <diagonal/>
    </border>
    <border>
      <left/>
      <right style="thin">
        <color indexed="64"/>
      </right>
      <top style="medium">
        <color indexed="64"/>
      </top>
      <bottom/>
      <diagonal/>
    </border>
  </borders>
  <cellStyleXfs count="2">
    <xf numFmtId="0" fontId="0" fillId="0" borderId="0"/>
    <xf numFmtId="164" fontId="12" fillId="0" borderId="0" applyFont="0" applyFill="0" applyBorder="0" applyAlignment="0" applyProtection="0"/>
  </cellStyleXfs>
  <cellXfs count="931">
    <xf numFmtId="0" fontId="0" fillId="0" borderId="0" xfId="0"/>
    <xf numFmtId="0" fontId="0" fillId="0" borderId="0" xfId="0" applyAlignment="1">
      <alignment horizontal="center"/>
    </xf>
    <xf numFmtId="0" fontId="3" fillId="0" borderId="0" xfId="0" applyFont="1"/>
    <xf numFmtId="0" fontId="0" fillId="0" borderId="1" xfId="0" applyBorder="1"/>
    <xf numFmtId="0" fontId="0" fillId="3" borderId="1" xfId="0" applyFill="1" applyBorder="1"/>
    <xf numFmtId="0" fontId="0" fillId="3" borderId="4" xfId="0" applyFill="1" applyBorder="1"/>
    <xf numFmtId="0" fontId="0" fillId="0" borderId="4" xfId="0" applyBorder="1"/>
    <xf numFmtId="0" fontId="2" fillId="3" borderId="4" xfId="0" applyFont="1" applyFill="1" applyBorder="1"/>
    <xf numFmtId="0" fontId="0" fillId="3" borderId="8" xfId="0" applyFill="1" applyBorder="1"/>
    <xf numFmtId="0" fontId="0" fillId="3" borderId="6" xfId="0" applyFill="1" applyBorder="1"/>
    <xf numFmtId="0" fontId="0" fillId="0" borderId="8" xfId="0" applyBorder="1"/>
    <xf numFmtId="0" fontId="0" fillId="0" borderId="6" xfId="0" applyBorder="1"/>
    <xf numFmtId="0" fontId="0" fillId="3" borderId="11" xfId="0" applyFill="1" applyBorder="1"/>
    <xf numFmtId="0" fontId="0" fillId="3" borderId="9" xfId="0" applyFill="1" applyBorder="1"/>
    <xf numFmtId="0" fontId="0" fillId="0" borderId="11" xfId="0" applyBorder="1"/>
    <xf numFmtId="0" fontId="0" fillId="0" borderId="9" xfId="0" applyBorder="1"/>
    <xf numFmtId="0" fontId="0" fillId="0" borderId="14" xfId="0" applyBorder="1" applyAlignment="1">
      <alignment horizontal="center" vertical="center"/>
    </xf>
    <xf numFmtId="0" fontId="0" fillId="3" borderId="14" xfId="0" applyFill="1" applyBorder="1" applyAlignment="1">
      <alignment horizontal="center" vertical="center"/>
    </xf>
    <xf numFmtId="0" fontId="1" fillId="2" borderId="22" xfId="0" applyFont="1" applyFill="1" applyBorder="1" applyAlignment="1">
      <alignment horizontal="center"/>
    </xf>
    <xf numFmtId="0" fontId="6" fillId="2" borderId="24" xfId="0" applyFont="1" applyFill="1" applyBorder="1" applyAlignment="1">
      <alignment horizontal="center" textRotation="90"/>
    </xf>
    <xf numFmtId="0" fontId="7" fillId="2" borderId="23" xfId="0" applyFont="1" applyFill="1" applyBorder="1" applyAlignment="1">
      <alignment horizontal="center"/>
    </xf>
    <xf numFmtId="0" fontId="6" fillId="2" borderId="25" xfId="0" applyFont="1" applyFill="1" applyBorder="1" applyAlignment="1">
      <alignment horizontal="center" textRotation="90"/>
    </xf>
    <xf numFmtId="0" fontId="1" fillId="0" borderId="0" xfId="0" applyFont="1"/>
    <xf numFmtId="0" fontId="8" fillId="0" borderId="0" xfId="0" applyFont="1"/>
    <xf numFmtId="0" fontId="0" fillId="0" borderId="0" xfId="0" applyAlignment="1">
      <alignment horizontal="left" vertical="center"/>
    </xf>
    <xf numFmtId="0" fontId="9" fillId="3" borderId="6" xfId="0" applyFont="1" applyFill="1" applyBorder="1" applyAlignment="1">
      <alignment horizontal="left" vertical="center" wrapText="1"/>
    </xf>
    <xf numFmtId="0" fontId="5" fillId="3" borderId="9" xfId="0" applyFont="1" applyFill="1" applyBorder="1" applyAlignment="1">
      <alignment horizontal="left" vertical="center" wrapText="1"/>
    </xf>
    <xf numFmtId="0" fontId="9" fillId="0" borderId="6" xfId="0" applyFont="1" applyBorder="1" applyAlignment="1">
      <alignment horizontal="left" vertical="center" wrapText="1"/>
    </xf>
    <xf numFmtId="0" fontId="9" fillId="0" borderId="9" xfId="0" applyFont="1" applyBorder="1" applyAlignment="1">
      <alignment horizontal="left" vertical="center" wrapText="1"/>
    </xf>
    <xf numFmtId="0" fontId="9" fillId="3" borderId="9" xfId="0" applyFont="1" applyFill="1" applyBorder="1" applyAlignment="1">
      <alignment horizontal="left" vertical="center" wrapText="1"/>
    </xf>
    <xf numFmtId="0" fontId="5" fillId="0" borderId="14" xfId="0" applyFont="1" applyBorder="1" applyAlignment="1">
      <alignment horizontal="center" vertical="center"/>
    </xf>
    <xf numFmtId="0" fontId="5" fillId="3" borderId="14"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9" xfId="0" applyFont="1" applyFill="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4" borderId="6"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9"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0" xfId="0" applyFont="1" applyFill="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6" xfId="0" applyFont="1" applyFill="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0" fillId="0" borderId="27" xfId="0" applyBorder="1"/>
    <xf numFmtId="0" fontId="0" fillId="0" borderId="28" xfId="0" applyBorder="1"/>
    <xf numFmtId="0" fontId="4" fillId="0" borderId="0" xfId="0" applyFont="1"/>
    <xf numFmtId="0" fontId="0" fillId="3" borderId="1" xfId="0" applyFill="1" applyBorder="1" applyAlignment="1">
      <alignment horizontal="center" vertical="center"/>
    </xf>
    <xf numFmtId="0" fontId="2" fillId="3" borderId="1" xfId="0" applyFont="1" applyFill="1" applyBorder="1" applyAlignment="1">
      <alignment horizontal="center" vertical="center"/>
    </xf>
    <xf numFmtId="0" fontId="0" fillId="0" borderId="0" xfId="0" applyAlignment="1">
      <alignment horizontal="center" vertical="center"/>
    </xf>
    <xf numFmtId="164" fontId="0" fillId="3" borderId="1" xfId="1" applyFont="1" applyFill="1" applyBorder="1" applyAlignment="1">
      <alignment horizontal="left" vertical="center"/>
    </xf>
    <xf numFmtId="164" fontId="10" fillId="3" borderId="1" xfId="1" applyFont="1" applyFill="1" applyBorder="1" applyAlignment="1">
      <alignment horizontal="left" vertical="center"/>
    </xf>
    <xf numFmtId="0" fontId="10" fillId="0" borderId="0" xfId="0" applyFont="1"/>
    <xf numFmtId="0" fontId="5" fillId="3" borderId="1" xfId="0" applyFont="1" applyFill="1" applyBorder="1" applyAlignment="1">
      <alignment horizontal="left" vertical="center" wrapText="1"/>
    </xf>
    <xf numFmtId="0" fontId="0" fillId="3" borderId="0" xfId="0" applyFill="1"/>
    <xf numFmtId="11" fontId="0" fillId="0" borderId="0" xfId="0" applyNumberFormat="1"/>
    <xf numFmtId="0" fontId="2" fillId="0" borderId="0" xfId="0" applyFont="1"/>
    <xf numFmtId="0" fontId="2" fillId="0" borderId="0" xfId="0" quotePrefix="1" applyFont="1"/>
    <xf numFmtId="0" fontId="2" fillId="0" borderId="0" xfId="0" applyFont="1" applyAlignment="1">
      <alignment wrapText="1"/>
    </xf>
    <xf numFmtId="0" fontId="2" fillId="0" borderId="0" xfId="0" quotePrefix="1" applyFont="1" applyAlignment="1">
      <alignment wrapText="1"/>
    </xf>
    <xf numFmtId="0" fontId="0" fillId="0" borderId="0" xfId="0" applyAlignment="1">
      <alignment horizontal="center" wrapText="1"/>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10"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vertical="center" wrapText="1"/>
    </xf>
    <xf numFmtId="0" fontId="2" fillId="0" borderId="1" xfId="0" applyFont="1" applyBorder="1" applyAlignment="1">
      <alignment vertical="center"/>
    </xf>
    <xf numFmtId="0" fontId="17" fillId="0" borderId="1" xfId="0" applyFont="1" applyBorder="1" applyAlignment="1">
      <alignment vertical="center"/>
    </xf>
    <xf numFmtId="0" fontId="0" fillId="0" borderId="6" xfId="0" applyBorder="1" applyAlignment="1">
      <alignment horizontal="center"/>
    </xf>
    <xf numFmtId="0" fontId="0" fillId="0" borderId="0" xfId="0" applyAlignment="1">
      <alignment vertical="center"/>
    </xf>
    <xf numFmtId="0" fontId="2" fillId="0" borderId="0" xfId="0" applyFont="1" applyAlignment="1">
      <alignment vertical="center" wrapText="1"/>
    </xf>
    <xf numFmtId="0" fontId="3" fillId="0" borderId="8" xfId="0" applyFont="1" applyBorder="1"/>
    <xf numFmtId="0" fontId="18" fillId="0" borderId="1" xfId="0" applyFont="1" applyBorder="1" applyAlignment="1">
      <alignment horizontal="center"/>
    </xf>
    <xf numFmtId="0" fontId="11" fillId="0" borderId="0" xfId="0" applyFont="1"/>
    <xf numFmtId="0" fontId="0" fillId="0" borderId="1" xfId="0"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19" fillId="0" borderId="1" xfId="0" applyFont="1" applyBorder="1" applyAlignment="1">
      <alignment horizontal="center" vertical="center" wrapText="1"/>
    </xf>
    <xf numFmtId="0" fontId="20"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21" fillId="0" borderId="0" xfId="0" applyFont="1" applyAlignment="1">
      <alignment horizontal="center" vertical="center"/>
    </xf>
    <xf numFmtId="0" fontId="17" fillId="0" borderId="1" xfId="0" applyFont="1" applyBorder="1" applyAlignment="1">
      <alignment horizontal="left" vertical="center" wrapText="1"/>
    </xf>
    <xf numFmtId="0" fontId="5" fillId="0" borderId="6" xfId="0" applyFont="1" applyBorder="1" applyAlignment="1">
      <alignment horizontal="center"/>
    </xf>
    <xf numFmtId="0" fontId="22" fillId="0" borderId="0" xfId="0" applyFont="1"/>
    <xf numFmtId="0" fontId="0" fillId="3" borderId="4" xfId="0" applyFill="1" applyBorder="1" applyAlignment="1">
      <alignment horizontal="center" vertical="center"/>
    </xf>
    <xf numFmtId="0" fontId="0" fillId="0" borderId="18" xfId="0" applyBorder="1" applyAlignment="1">
      <alignment horizontal="center" vertical="center"/>
    </xf>
    <xf numFmtId="0" fontId="15" fillId="0" borderId="51" xfId="0" applyFont="1" applyBorder="1"/>
    <xf numFmtId="0" fontId="15" fillId="0" borderId="52" xfId="0" applyFont="1" applyBorder="1"/>
    <xf numFmtId="0" fontId="2" fillId="0" borderId="4" xfId="0" applyFont="1" applyBorder="1" applyAlignment="1">
      <alignment vertical="center"/>
    </xf>
    <xf numFmtId="0" fontId="2" fillId="0" borderId="18" xfId="0" applyFont="1" applyBorder="1" applyAlignment="1">
      <alignment horizontal="center" vertical="center"/>
    </xf>
    <xf numFmtId="0" fontId="2" fillId="0" borderId="18" xfId="0" applyFont="1" applyBorder="1"/>
    <xf numFmtId="0" fontId="17" fillId="0" borderId="11" xfId="0" applyFont="1" applyBorder="1" applyAlignment="1">
      <alignment vertical="center"/>
    </xf>
    <xf numFmtId="0" fontId="2" fillId="0" borderId="9" xfId="0" applyFont="1" applyBorder="1" applyAlignment="1">
      <alignment horizontal="center" vertical="center"/>
    </xf>
    <xf numFmtId="0" fontId="17" fillId="0" borderId="9" xfId="0" applyFont="1" applyBorder="1" applyAlignment="1">
      <alignment vertical="center"/>
    </xf>
    <xf numFmtId="0" fontId="15" fillId="3" borderId="4" xfId="0" applyFont="1" applyFill="1" applyBorder="1" applyAlignment="1">
      <alignment horizontal="center" vertical="center" wrapText="1"/>
    </xf>
    <xf numFmtId="0" fontId="0" fillId="0" borderId="4" xfId="0" applyBorder="1" applyAlignment="1">
      <alignment horizontal="center" vertical="center"/>
    </xf>
    <xf numFmtId="0" fontId="0" fillId="5" borderId="4" xfId="0" applyFill="1" applyBorder="1" applyAlignment="1">
      <alignment horizontal="center" vertical="center"/>
    </xf>
    <xf numFmtId="0" fontId="0" fillId="6" borderId="4" xfId="0" applyFill="1" applyBorder="1" applyAlignment="1">
      <alignment horizontal="center" vertical="center"/>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4" xfId="0" quotePrefix="1" applyBorder="1" applyAlignment="1">
      <alignment horizontal="center" vertical="center"/>
    </xf>
    <xf numFmtId="0" fontId="0" fillId="0" borderId="58" xfId="0" applyBorder="1"/>
    <xf numFmtId="0" fontId="0" fillId="0" borderId="56" xfId="0" applyBorder="1"/>
    <xf numFmtId="0" fontId="0" fillId="0" borderId="59" xfId="0" applyBorder="1"/>
    <xf numFmtId="0" fontId="0" fillId="0" borderId="60" xfId="0" applyBorder="1"/>
    <xf numFmtId="0" fontId="0" fillId="0" borderId="53" xfId="0" applyBorder="1" applyAlignment="1">
      <alignment horizontal="left"/>
    </xf>
    <xf numFmtId="0" fontId="18" fillId="0" borderId="4" xfId="0" applyFont="1" applyBorder="1" applyAlignment="1">
      <alignment horizontal="center"/>
    </xf>
    <xf numFmtId="0" fontId="18" fillId="0" borderId="18" xfId="0" applyFont="1" applyBorder="1" applyAlignment="1">
      <alignment horizontal="center"/>
    </xf>
    <xf numFmtId="0" fontId="18" fillId="0" borderId="11" xfId="0" applyFont="1" applyBorder="1" applyAlignment="1">
      <alignment horizontal="center"/>
    </xf>
    <xf numFmtId="0" fontId="18" fillId="0" borderId="9" xfId="0" applyFont="1" applyBorder="1" applyAlignment="1">
      <alignment horizontal="center"/>
    </xf>
    <xf numFmtId="0" fontId="18" fillId="0" borderId="16" xfId="0" applyFont="1" applyBorder="1" applyAlignment="1">
      <alignment horizontal="center"/>
    </xf>
    <xf numFmtId="0" fontId="5" fillId="3" borderId="15" xfId="0" applyFont="1" applyFill="1" applyBorder="1"/>
    <xf numFmtId="0" fontId="19" fillId="0" borderId="1" xfId="0" applyFont="1" applyBorder="1" applyAlignment="1">
      <alignment horizontal="center"/>
    </xf>
    <xf numFmtId="0" fontId="5" fillId="0" borderId="1" xfId="0" applyFont="1" applyBorder="1" applyAlignment="1">
      <alignment horizontal="center"/>
    </xf>
    <xf numFmtId="0" fontId="15" fillId="0" borderId="51" xfId="0" applyFont="1" applyBorder="1" applyAlignment="1">
      <alignment horizontal="left"/>
    </xf>
    <xf numFmtId="0" fontId="2" fillId="7" borderId="0" xfId="0" applyFont="1" applyFill="1"/>
    <xf numFmtId="0" fontId="0" fillId="7" borderId="0" xfId="0" applyFill="1"/>
    <xf numFmtId="0" fontId="10" fillId="0" borderId="1" xfId="0" applyFont="1" applyBorder="1" applyAlignment="1">
      <alignment horizontal="center" vertical="center"/>
    </xf>
    <xf numFmtId="0" fontId="0" fillId="3" borderId="4" xfId="0" applyFill="1" applyBorder="1" applyAlignment="1">
      <alignment horizontal="left"/>
    </xf>
    <xf numFmtId="0" fontId="0" fillId="3" borderId="1" xfId="0" applyFill="1" applyBorder="1" applyAlignment="1">
      <alignment horizontal="left"/>
    </xf>
    <xf numFmtId="0" fontId="10" fillId="3" borderId="1" xfId="0" applyFont="1" applyFill="1" applyBorder="1" applyAlignment="1">
      <alignment horizontal="left"/>
    </xf>
    <xf numFmtId="0" fontId="0" fillId="3" borderId="30" xfId="0" applyFill="1" applyBorder="1" applyAlignment="1">
      <alignment horizontal="left"/>
    </xf>
    <xf numFmtId="49" fontId="0" fillId="0" borderId="0" xfId="0" applyNumberFormat="1"/>
    <xf numFmtId="0" fontId="23" fillId="0" borderId="0" xfId="0" applyFont="1" applyAlignment="1">
      <alignment wrapText="1"/>
    </xf>
    <xf numFmtId="2" fontId="2" fillId="0" borderId="0" xfId="0" applyNumberFormat="1" applyFont="1"/>
    <xf numFmtId="0" fontId="5" fillId="0" borderId="9" xfId="0" applyFont="1" applyBorder="1"/>
    <xf numFmtId="0" fontId="10" fillId="3" borderId="31" xfId="0" applyFont="1" applyFill="1" applyBorder="1" applyAlignment="1">
      <alignment horizontal="center" vertical="center"/>
    </xf>
    <xf numFmtId="2" fontId="14" fillId="0" borderId="0" xfId="0" applyNumberFormat="1" applyFont="1" applyAlignment="1">
      <alignment horizontal="center" vertical="center"/>
    </xf>
    <xf numFmtId="0" fontId="14" fillId="0" borderId="0" xfId="0" applyFont="1"/>
    <xf numFmtId="0" fontId="0" fillId="0" borderId="26" xfId="0" applyBorder="1"/>
    <xf numFmtId="0" fontId="0" fillId="0" borderId="21" xfId="0" applyBorder="1"/>
    <xf numFmtId="0" fontId="2" fillId="0" borderId="21" xfId="0" applyFont="1" applyBorder="1"/>
    <xf numFmtId="0" fontId="5" fillId="3" borderId="15" xfId="0" applyFont="1" applyFill="1" applyBorder="1" applyAlignment="1">
      <alignment horizontal="center" vertical="center" wrapText="1"/>
    </xf>
    <xf numFmtId="0" fontId="0" fillId="0" borderId="5" xfId="0" applyBorder="1" applyAlignment="1">
      <alignment horizontal="left" vertical="center"/>
    </xf>
    <xf numFmtId="0" fontId="0" fillId="0" borderId="2" xfId="0" applyBorder="1" applyAlignment="1">
      <alignment horizontal="right" vertical="center"/>
    </xf>
    <xf numFmtId="0" fontId="0" fillId="0" borderId="10" xfId="0" applyBorder="1" applyAlignment="1">
      <alignment horizontal="right" vertical="center"/>
    </xf>
    <xf numFmtId="1" fontId="0" fillId="0" borderId="18" xfId="0" applyNumberFormat="1" applyBorder="1" applyAlignment="1">
      <alignment horizontal="center" vertical="center"/>
    </xf>
    <xf numFmtId="1" fontId="0" fillId="0" borderId="16" xfId="0" applyNumberFormat="1" applyBorder="1" applyAlignment="1">
      <alignment horizontal="center" vertical="center"/>
    </xf>
    <xf numFmtId="0" fontId="0" fillId="0" borderId="20" xfId="0" applyBorder="1"/>
    <xf numFmtId="0" fontId="3" fillId="3" borderId="63" xfId="0" applyFont="1" applyFill="1" applyBorder="1" applyAlignment="1">
      <alignment horizontal="left"/>
    </xf>
    <xf numFmtId="0" fontId="3" fillId="3" borderId="4" xfId="0" applyFont="1" applyFill="1" applyBorder="1" applyAlignment="1">
      <alignment horizontal="left"/>
    </xf>
    <xf numFmtId="0" fontId="5" fillId="3" borderId="0" xfId="0" applyFont="1" applyFill="1" applyAlignment="1">
      <alignment horizontal="center"/>
    </xf>
    <xf numFmtId="14" fontId="0" fillId="0" borderId="0" xfId="0" quotePrefix="1" applyNumberFormat="1" applyAlignment="1">
      <alignment horizontal="center"/>
    </xf>
    <xf numFmtId="16" fontId="0" fillId="0" borderId="0" xfId="0" quotePrefix="1" applyNumberFormat="1" applyAlignment="1">
      <alignment horizontal="center"/>
    </xf>
    <xf numFmtId="0" fontId="3" fillId="3" borderId="30" xfId="0" applyFont="1" applyFill="1" applyBorder="1" applyAlignment="1">
      <alignment horizontal="left"/>
    </xf>
    <xf numFmtId="0" fontId="3" fillId="3" borderId="12" xfId="0" applyFont="1" applyFill="1" applyBorder="1" applyAlignment="1">
      <alignment horizontal="left"/>
    </xf>
    <xf numFmtId="0" fontId="0" fillId="0" borderId="38" xfId="0" applyBorder="1" applyAlignment="1">
      <alignment horizontal="center" vertical="center"/>
    </xf>
    <xf numFmtId="0" fontId="0" fillId="0" borderId="40" xfId="0" applyBorder="1" applyAlignment="1">
      <alignment horizontal="center" vertical="center"/>
    </xf>
    <xf numFmtId="0" fontId="0" fillId="0" borderId="35" xfId="0" applyBorder="1" applyAlignment="1">
      <alignment horizontal="center" vertical="center"/>
    </xf>
    <xf numFmtId="0" fontId="0" fillId="0" borderId="44" xfId="0" applyBorder="1" applyAlignment="1">
      <alignment horizontal="center" vertical="center"/>
    </xf>
    <xf numFmtId="0" fontId="2" fillId="0" borderId="13" xfId="0" applyFont="1" applyBorder="1" applyAlignment="1">
      <alignment vertical="top"/>
    </xf>
    <xf numFmtId="0" fontId="0" fillId="0" borderId="0" xfId="0" applyAlignment="1">
      <alignment vertical="top"/>
    </xf>
    <xf numFmtId="0" fontId="0" fillId="0" borderId="39" xfId="0" applyBorder="1" applyAlignment="1">
      <alignment horizontal="center" vertical="center"/>
    </xf>
    <xf numFmtId="0" fontId="0" fillId="0" borderId="41" xfId="0" applyBorder="1" applyAlignment="1">
      <alignment horizontal="center" vertical="center"/>
    </xf>
    <xf numFmtId="0" fontId="0" fillId="3" borderId="0" xfId="0" applyFill="1" applyAlignment="1">
      <alignment horizontal="center"/>
    </xf>
    <xf numFmtId="0" fontId="19" fillId="0" borderId="6" xfId="0" applyFont="1" applyBorder="1" applyAlignment="1">
      <alignment horizontal="center" wrapText="1"/>
    </xf>
    <xf numFmtId="0" fontId="3" fillId="3" borderId="4" xfId="0" applyFont="1" applyFill="1" applyBorder="1"/>
    <xf numFmtId="0" fontId="2" fillId="0" borderId="0" xfId="0" applyFont="1" applyAlignment="1">
      <alignment vertical="center"/>
    </xf>
    <xf numFmtId="164" fontId="2" fillId="0" borderId="0" xfId="1" applyFont="1" applyBorder="1" applyAlignment="1">
      <alignment vertical="center"/>
    </xf>
    <xf numFmtId="0" fontId="14" fillId="0" borderId="0" xfId="0" applyFont="1" applyAlignment="1">
      <alignment wrapText="1"/>
    </xf>
    <xf numFmtId="0" fontId="0" fillId="0" borderId="0" xfId="0" applyAlignment="1">
      <alignment vertical="center" wrapText="1"/>
    </xf>
    <xf numFmtId="0" fontId="6" fillId="0" borderId="0" xfId="0" applyFont="1"/>
    <xf numFmtId="0" fontId="27" fillId="3" borderId="22" xfId="0" quotePrefix="1" applyFont="1" applyFill="1" applyBorder="1" applyAlignment="1">
      <alignment horizontal="center"/>
    </xf>
    <xf numFmtId="0" fontId="32" fillId="0" borderId="15" xfId="0" applyFont="1" applyBorder="1" applyAlignment="1">
      <alignment horizontal="center" vertical="center"/>
    </xf>
    <xf numFmtId="0" fontId="32" fillId="3" borderId="15" xfId="0" applyFont="1" applyFill="1" applyBorder="1" applyAlignment="1">
      <alignment horizontal="center" vertical="center"/>
    </xf>
    <xf numFmtId="0" fontId="40" fillId="3" borderId="31" xfId="0" applyFont="1" applyFill="1" applyBorder="1" applyAlignment="1">
      <alignment horizontal="center" vertical="center"/>
    </xf>
    <xf numFmtId="0" fontId="0" fillId="0" borderId="3" xfId="0" applyBorder="1" applyAlignment="1">
      <alignment horizontal="left" vertical="center"/>
    </xf>
    <xf numFmtId="0" fontId="2" fillId="0" borderId="1" xfId="0" applyFont="1" applyBorder="1" applyAlignment="1">
      <alignment horizontal="center" vertical="center" wrapText="1"/>
    </xf>
    <xf numFmtId="0" fontId="3" fillId="3" borderId="1" xfId="0" applyFont="1" applyFill="1" applyBorder="1" applyAlignment="1">
      <alignment horizontal="center"/>
    </xf>
    <xf numFmtId="0" fontId="2" fillId="0" borderId="9" xfId="0" applyFont="1" applyBorder="1" applyAlignment="1">
      <alignment horizontal="center" vertical="center" wrapText="1"/>
    </xf>
    <xf numFmtId="0" fontId="0" fillId="0" borderId="67" xfId="0" applyBorder="1"/>
    <xf numFmtId="0" fontId="10" fillId="3" borderId="4" xfId="0" applyFont="1" applyFill="1" applyBorder="1" applyAlignment="1">
      <alignment horizontal="center" vertical="center"/>
    </xf>
    <xf numFmtId="0" fontId="5" fillId="0" borderId="0" xfId="0" applyFont="1" applyAlignment="1">
      <alignment horizontal="center" vertical="center" wrapText="1"/>
    </xf>
    <xf numFmtId="0" fontId="26" fillId="0" borderId="0" xfId="0" applyFont="1" applyAlignment="1">
      <alignment horizontal="center" vertical="center"/>
    </xf>
    <xf numFmtId="0" fontId="30" fillId="0" borderId="0" xfId="0" applyFont="1" applyAlignment="1">
      <alignment horizontal="center" vertical="center" wrapText="1"/>
    </xf>
    <xf numFmtId="0" fontId="33" fillId="2" borderId="50" xfId="0" applyFont="1" applyFill="1" applyBorder="1" applyAlignment="1">
      <alignment horizontal="center" vertical="center" wrapText="1"/>
    </xf>
    <xf numFmtId="0" fontId="2" fillId="0" borderId="0" xfId="0" applyFont="1" applyAlignment="1">
      <alignment horizontal="left"/>
    </xf>
    <xf numFmtId="0" fontId="0" fillId="3" borderId="0" xfId="0" applyFill="1" applyAlignment="1">
      <alignment horizontal="center" vertical="center"/>
    </xf>
    <xf numFmtId="0" fontId="5" fillId="0" borderId="0" xfId="0" applyFont="1" applyAlignment="1">
      <alignment vertical="center" wrapText="1"/>
    </xf>
    <xf numFmtId="0" fontId="3" fillId="0" borderId="0" xfId="0" applyFont="1" applyAlignment="1">
      <alignment vertical="center" wrapText="1"/>
    </xf>
    <xf numFmtId="0" fontId="26" fillId="0" borderId="0" xfId="0" applyFont="1" applyAlignment="1">
      <alignment vertical="center" wrapText="1"/>
    </xf>
    <xf numFmtId="0" fontId="33" fillId="2" borderId="26" xfId="0" applyFont="1" applyFill="1" applyBorder="1" applyAlignment="1">
      <alignment vertical="center" wrapText="1"/>
    </xf>
    <xf numFmtId="0" fontId="10" fillId="0" borderId="21" xfId="0" applyFont="1" applyBorder="1"/>
    <xf numFmtId="0" fontId="2" fillId="3" borderId="0" xfId="0" applyFont="1" applyFill="1" applyAlignment="1">
      <alignment horizontal="center" wrapText="1"/>
    </xf>
    <xf numFmtId="0" fontId="2" fillId="0" borderId="0" xfId="0" applyFont="1" applyAlignment="1">
      <alignment horizont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xf>
    <xf numFmtId="0" fontId="10" fillId="3" borderId="1" xfId="0" applyFont="1" applyFill="1" applyBorder="1" applyAlignment="1">
      <alignment horizontal="center" vertical="center"/>
    </xf>
    <xf numFmtId="0" fontId="3" fillId="0" borderId="9" xfId="0" applyFont="1" applyBorder="1" applyAlignment="1">
      <alignment horizontal="center" vertical="center"/>
    </xf>
    <xf numFmtId="0" fontId="2" fillId="3" borderId="0" xfId="0" applyFont="1" applyFill="1"/>
    <xf numFmtId="0" fontId="0" fillId="8" borderId="0" xfId="0" applyFill="1"/>
    <xf numFmtId="0" fontId="3" fillId="8" borderId="0" xfId="0" applyFont="1" applyFill="1"/>
    <xf numFmtId="0" fontId="10" fillId="8" borderId="0" xfId="0" applyFont="1" applyFill="1"/>
    <xf numFmtId="0" fontId="0" fillId="8" borderId="27" xfId="0" applyFill="1" applyBorder="1"/>
    <xf numFmtId="0" fontId="0" fillId="8" borderId="67" xfId="0" applyFill="1" applyBorder="1"/>
    <xf numFmtId="0" fontId="2" fillId="8" borderId="0" xfId="0" applyFont="1" applyFill="1"/>
    <xf numFmtId="0" fontId="0" fillId="8" borderId="58" xfId="0" applyFill="1" applyBorder="1"/>
    <xf numFmtId="0" fontId="0" fillId="0" borderId="58" xfId="0" applyBorder="1" applyAlignment="1">
      <alignment horizontal="left" vertical="center"/>
    </xf>
    <xf numFmtId="0" fontId="5" fillId="3" borderId="0" xfId="0" applyFont="1" applyFill="1" applyAlignment="1">
      <alignment horizontal="center" vertical="center" wrapText="1"/>
    </xf>
    <xf numFmtId="0" fontId="5" fillId="3" borderId="1" xfId="0" applyFont="1" applyFill="1" applyBorder="1" applyAlignment="1">
      <alignment horizontal="center"/>
    </xf>
    <xf numFmtId="0" fontId="0" fillId="0" borderId="11" xfId="0" applyBorder="1" applyAlignment="1">
      <alignment horizontal="center" vertical="center"/>
    </xf>
    <xf numFmtId="164" fontId="2" fillId="0" borderId="16" xfId="1" applyFont="1" applyBorder="1" applyAlignment="1">
      <alignment horizontal="center" vertical="center"/>
    </xf>
    <xf numFmtId="0" fontId="0" fillId="0" borderId="1" xfId="0" applyBorder="1" applyAlignment="1">
      <alignment horizontal="left" vertical="center"/>
    </xf>
    <xf numFmtId="0" fontId="0" fillId="9" borderId="4" xfId="0" applyFill="1" applyBorder="1" applyAlignment="1">
      <alignment horizontal="center" vertical="center"/>
    </xf>
    <xf numFmtId="0" fontId="0" fillId="9" borderId="1" xfId="0" applyFill="1" applyBorder="1" applyAlignment="1">
      <alignment horizontal="center" vertical="center"/>
    </xf>
    <xf numFmtId="0" fontId="42" fillId="0" borderId="0" xfId="0" applyFont="1"/>
    <xf numFmtId="0" fontId="0" fillId="0" borderId="0" xfId="0" applyAlignment="1">
      <alignment horizontal="right"/>
    </xf>
    <xf numFmtId="0" fontId="0" fillId="8" borderId="0" xfId="0" applyFill="1" applyAlignment="1">
      <alignment horizontal="right"/>
    </xf>
    <xf numFmtId="0" fontId="34" fillId="0" borderId="0" xfId="0" applyFont="1"/>
    <xf numFmtId="0" fontId="43" fillId="0" borderId="0" xfId="0" applyFont="1"/>
    <xf numFmtId="0" fontId="0" fillId="0" borderId="1" xfId="0" applyBorder="1" applyAlignment="1">
      <alignment wrapText="1"/>
    </xf>
    <xf numFmtId="0" fontId="0" fillId="0" borderId="3" xfId="0" applyBorder="1" applyAlignment="1">
      <alignment vertical="center"/>
    </xf>
    <xf numFmtId="0" fontId="0" fillId="0" borderId="2" xfId="0" applyBorder="1" applyAlignment="1">
      <alignment vertical="center"/>
    </xf>
    <xf numFmtId="0" fontId="0" fillId="10" borderId="2" xfId="0" applyFill="1" applyBorder="1" applyAlignment="1">
      <alignment horizontal="right" vertical="center"/>
    </xf>
    <xf numFmtId="0" fontId="43" fillId="2" borderId="0" xfId="0" applyFont="1" applyFill="1" applyAlignment="1">
      <alignment vertical="center"/>
    </xf>
    <xf numFmtId="0" fontId="43" fillId="0" borderId="0" xfId="0" applyFont="1" applyAlignment="1">
      <alignment vertical="center"/>
    </xf>
    <xf numFmtId="0" fontId="14" fillId="11" borderId="1" xfId="0" applyFont="1" applyFill="1" applyBorder="1"/>
    <xf numFmtId="0" fontId="44" fillId="0" borderId="1" xfId="0" applyFont="1" applyBorder="1" applyAlignment="1">
      <alignment horizontal="center" vertical="center"/>
    </xf>
    <xf numFmtId="0" fontId="45" fillId="0" borderId="1" xfId="0" applyFont="1" applyBorder="1" applyAlignment="1">
      <alignment horizontal="center" vertical="center"/>
    </xf>
    <xf numFmtId="0" fontId="46" fillId="0" borderId="1" xfId="0" applyFont="1" applyBorder="1" applyAlignment="1">
      <alignment horizontal="left"/>
    </xf>
    <xf numFmtId="0" fontId="3" fillId="0" borderId="1" xfId="0" applyFont="1" applyBorder="1" applyAlignment="1">
      <alignment vertical="center" wrapText="1"/>
    </xf>
    <xf numFmtId="0" fontId="46" fillId="12" borderId="1" xfId="0" applyFont="1" applyFill="1" applyBorder="1" applyAlignment="1">
      <alignment horizontal="right"/>
    </xf>
    <xf numFmtId="0" fontId="11" fillId="12" borderId="1" xfId="0" applyFont="1" applyFill="1" applyBorder="1" applyAlignment="1">
      <alignment horizontal="right"/>
    </xf>
    <xf numFmtId="0" fontId="24" fillId="0" borderId="0" xfId="0" applyFont="1"/>
    <xf numFmtId="0" fontId="3" fillId="0" borderId="59" xfId="0" applyFont="1" applyBorder="1"/>
    <xf numFmtId="0" fontId="24" fillId="0" borderId="0" xfId="0" applyFont="1" applyAlignment="1">
      <alignment wrapText="1"/>
    </xf>
    <xf numFmtId="0" fontId="24" fillId="0" borderId="0" xfId="0" quotePrefix="1" applyFont="1" applyAlignment="1">
      <alignment wrapText="1"/>
    </xf>
    <xf numFmtId="0" fontId="0" fillId="0" borderId="0" xfId="0" applyAlignment="1">
      <alignment wrapText="1"/>
    </xf>
    <xf numFmtId="0" fontId="0" fillId="0" borderId="0" xfId="0" quotePrefix="1"/>
    <xf numFmtId="0" fontId="10" fillId="0" borderId="0" xfId="0" applyFont="1" applyAlignment="1">
      <alignment wrapText="1"/>
    </xf>
    <xf numFmtId="0" fontId="0" fillId="0" borderId="12" xfId="0" applyBorder="1" applyAlignment="1">
      <alignment horizontal="center"/>
    </xf>
    <xf numFmtId="0" fontId="0" fillId="0" borderId="0" xfId="0" quotePrefix="1" applyAlignment="1">
      <alignment wrapText="1"/>
    </xf>
    <xf numFmtId="0" fontId="5" fillId="0" borderId="0" xfId="0" applyFont="1" applyAlignment="1">
      <alignment wrapText="1"/>
    </xf>
    <xf numFmtId="0" fontId="0" fillId="0" borderId="9" xfId="0" applyBorder="1" applyAlignment="1">
      <alignment horizontal="center" vertical="center"/>
    </xf>
    <xf numFmtId="0" fontId="0" fillId="12" borderId="42" xfId="0" applyFill="1" applyBorder="1"/>
    <xf numFmtId="0" fontId="11" fillId="0" borderId="1" xfId="0" applyFont="1" applyBorder="1"/>
    <xf numFmtId="0" fontId="0" fillId="0" borderId="38" xfId="0" applyBorder="1" applyAlignment="1">
      <alignment horizontal="right" vertical="center"/>
    </xf>
    <xf numFmtId="0" fontId="10" fillId="0" borderId="10" xfId="0" applyFont="1" applyBorder="1" applyAlignment="1">
      <alignment horizontal="center" vertical="center"/>
    </xf>
    <xf numFmtId="0" fontId="0" fillId="0" borderId="9" xfId="0" applyBorder="1" applyAlignment="1">
      <alignment vertical="center"/>
    </xf>
    <xf numFmtId="0" fontId="3" fillId="0" borderId="5" xfId="0" applyFont="1" applyBorder="1" applyAlignment="1">
      <alignment vertical="center"/>
    </xf>
    <xf numFmtId="49" fontId="2" fillId="3" borderId="1" xfId="0" applyNumberFormat="1" applyFont="1" applyFill="1" applyBorder="1" applyAlignment="1">
      <alignment horizontal="center" vertical="center" wrapText="1"/>
    </xf>
    <xf numFmtId="49" fontId="0" fillId="0" borderId="0" xfId="0" applyNumberFormat="1" applyAlignment="1">
      <alignment horizontal="center" vertical="center"/>
    </xf>
    <xf numFmtId="0" fontId="5" fillId="3" borderId="1" xfId="0" applyFont="1" applyFill="1" applyBorder="1" applyAlignment="1">
      <alignment horizontal="center" vertical="center" wrapText="1"/>
    </xf>
    <xf numFmtId="0" fontId="0" fillId="0" borderId="0" xfId="0" quotePrefix="1" applyAlignment="1">
      <alignment horizontal="center" vertical="center"/>
    </xf>
    <xf numFmtId="0" fontId="0" fillId="0" borderId="72" xfId="0" applyBorder="1"/>
    <xf numFmtId="0" fontId="48" fillId="2" borderId="58" xfId="0" applyFont="1" applyFill="1" applyBorder="1" applyAlignment="1">
      <alignment vertical="center"/>
    </xf>
    <xf numFmtId="49" fontId="0" fillId="0" borderId="1" xfId="0" applyNumberFormat="1" applyBorder="1"/>
    <xf numFmtId="0" fontId="11" fillId="13" borderId="1" xfId="0" applyFont="1" applyFill="1" applyBorder="1"/>
    <xf numFmtId="0" fontId="0" fillId="0" borderId="1" xfId="0" applyBorder="1" applyAlignment="1">
      <alignment horizontal="center"/>
    </xf>
    <xf numFmtId="0" fontId="49" fillId="13" borderId="1" xfId="0" applyFont="1" applyFill="1" applyBorder="1" applyAlignment="1">
      <alignment wrapText="1"/>
    </xf>
    <xf numFmtId="0" fontId="0" fillId="10" borderId="3" xfId="0" applyFill="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0" fillId="0" borderId="0" xfId="0" applyFont="1" applyAlignment="1">
      <alignment vertical="center" wrapText="1"/>
    </xf>
    <xf numFmtId="0" fontId="5" fillId="3" borderId="2" xfId="0" applyFont="1" applyFill="1" applyBorder="1"/>
    <xf numFmtId="0" fontId="5" fillId="0" borderId="2" xfId="0" applyFont="1" applyBorder="1" applyAlignment="1">
      <alignment vertical="center" wrapText="1"/>
    </xf>
    <xf numFmtId="0" fontId="0" fillId="0" borderId="54" xfId="0" applyBorder="1"/>
    <xf numFmtId="0" fontId="0" fillId="0" borderId="39" xfId="0" applyBorder="1"/>
    <xf numFmtId="0" fontId="0" fillId="0" borderId="74" xfId="0" applyBorder="1"/>
    <xf numFmtId="0" fontId="0" fillId="7" borderId="1" xfId="0" applyFill="1" applyBorder="1"/>
    <xf numFmtId="0" fontId="2" fillId="7" borderId="1" xfId="0" applyFont="1" applyFill="1" applyBorder="1"/>
    <xf numFmtId="0" fontId="2" fillId="0" borderId="9" xfId="0" applyFont="1" applyBorder="1" applyAlignment="1">
      <alignment vertical="center"/>
    </xf>
    <xf numFmtId="0" fontId="5" fillId="0" borderId="73" xfId="0" applyFont="1" applyBorder="1" applyAlignment="1">
      <alignment vertical="center" wrapText="1"/>
    </xf>
    <xf numFmtId="0" fontId="0" fillId="7" borderId="43" xfId="0" applyFill="1" applyBorder="1"/>
    <xf numFmtId="0" fontId="24" fillId="0" borderId="1" xfId="0" applyFont="1" applyBorder="1" applyAlignment="1">
      <alignment horizontal="left" vertical="top" wrapText="1"/>
    </xf>
    <xf numFmtId="0" fontId="3" fillId="7" borderId="1" xfId="0" applyFont="1" applyFill="1" applyBorder="1"/>
    <xf numFmtId="0" fontId="51" fillId="0" borderId="0" xfId="0" applyFont="1"/>
    <xf numFmtId="0" fontId="0" fillId="13" borderId="4" xfId="0" applyFill="1" applyBorder="1"/>
    <xf numFmtId="0" fontId="10" fillId="13" borderId="1" xfId="0" applyFont="1" applyFill="1" applyBorder="1"/>
    <xf numFmtId="0" fontId="0" fillId="0" borderId="3" xfId="0" applyBorder="1" applyAlignment="1">
      <alignment horizontal="left"/>
    </xf>
    <xf numFmtId="0" fontId="52" fillId="2" borderId="47" xfId="0" applyFont="1" applyFill="1" applyBorder="1" applyAlignment="1">
      <alignment horizontal="center"/>
    </xf>
    <xf numFmtId="0" fontId="5" fillId="13" borderId="18" xfId="0" applyFont="1" applyFill="1" applyBorder="1" applyAlignment="1">
      <alignment horizontal="center" textRotation="90"/>
    </xf>
    <xf numFmtId="0" fontId="5" fillId="0" borderId="43" xfId="0" applyFont="1" applyBorder="1" applyAlignment="1">
      <alignment horizontal="center" vertical="center"/>
    </xf>
    <xf numFmtId="0" fontId="0" fillId="0" borderId="21" xfId="0" applyBorder="1" applyAlignment="1">
      <alignment horizontal="center"/>
    </xf>
    <xf numFmtId="0" fontId="0" fillId="0" borderId="6" xfId="0" applyBorder="1" applyAlignment="1">
      <alignment horizontal="center" vertical="center"/>
    </xf>
    <xf numFmtId="0" fontId="0" fillId="0" borderId="26" xfId="0" applyBorder="1" applyAlignment="1">
      <alignment horizontal="center"/>
    </xf>
    <xf numFmtId="0" fontId="13" fillId="0" borderId="32" xfId="0" applyFont="1" applyBorder="1" applyAlignment="1">
      <alignment horizontal="left" vertical="center" wrapText="1"/>
    </xf>
    <xf numFmtId="0" fontId="13" fillId="0" borderId="13" xfId="0" applyFont="1" applyBorder="1" applyAlignment="1">
      <alignment horizontal="left" vertical="center" wrapText="1"/>
    </xf>
    <xf numFmtId="0" fontId="0" fillId="0" borderId="16" xfId="0" applyBorder="1" applyAlignment="1">
      <alignment horizontal="center" vertical="center"/>
    </xf>
    <xf numFmtId="0" fontId="0" fillId="0" borderId="11" xfId="0" applyBorder="1" applyAlignment="1">
      <alignment horizontal="center"/>
    </xf>
    <xf numFmtId="0" fontId="28" fillId="0" borderId="0" xfId="0" applyFont="1" applyAlignment="1">
      <alignment horizontal="left" vertical="center"/>
    </xf>
    <xf numFmtId="0" fontId="2" fillId="0" borderId="0" xfId="0" quotePrefix="1" applyFont="1" applyAlignment="1">
      <alignment horizontal="center" vertical="center" wrapText="1"/>
    </xf>
    <xf numFmtId="0" fontId="0" fillId="0" borderId="4" xfId="0" applyBorder="1" applyAlignment="1">
      <alignment horizontal="center"/>
    </xf>
    <xf numFmtId="0" fontId="15" fillId="3" borderId="0" xfId="0" applyFont="1" applyFill="1" applyAlignment="1">
      <alignment horizontal="center" vertical="center"/>
    </xf>
    <xf numFmtId="0" fontId="15" fillId="3" borderId="0" xfId="0" applyFont="1" applyFill="1" applyAlignment="1">
      <alignment horizontal="left" vertical="center"/>
    </xf>
    <xf numFmtId="16" fontId="0" fillId="0" borderId="0" xfId="0" applyNumberFormat="1" applyAlignment="1">
      <alignment horizontal="center" vertical="center"/>
    </xf>
    <xf numFmtId="0" fontId="15" fillId="3" borderId="0" xfId="0" applyFont="1" applyFill="1" applyAlignment="1">
      <alignment horizontal="right" vertical="center"/>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53" fillId="3" borderId="46" xfId="0" applyFont="1" applyFill="1" applyBorder="1" applyAlignment="1">
      <alignment horizontal="center"/>
    </xf>
    <xf numFmtId="0" fontId="54" fillId="0" borderId="0" xfId="0" applyFont="1"/>
    <xf numFmtId="0" fontId="4" fillId="13" borderId="4" xfId="0" applyFont="1" applyFill="1" applyBorder="1"/>
    <xf numFmtId="0" fontId="4" fillId="13" borderId="1" xfId="0" applyFont="1" applyFill="1" applyBorder="1"/>
    <xf numFmtId="0" fontId="4" fillId="0" borderId="1" xfId="0" applyFont="1" applyBorder="1" applyAlignment="1">
      <alignment horizontal="center" vertical="center" shrinkToFit="1"/>
    </xf>
    <xf numFmtId="0" fontId="4" fillId="0" borderId="9" xfId="0" applyFont="1" applyBorder="1" applyAlignment="1">
      <alignment horizontal="center" vertical="center" shrinkToFit="1"/>
    </xf>
    <xf numFmtId="0" fontId="5" fillId="3" borderId="1" xfId="0" applyFont="1" applyFill="1" applyBorder="1" applyAlignment="1">
      <alignment horizontal="left"/>
    </xf>
    <xf numFmtId="0" fontId="5" fillId="3" borderId="30" xfId="0" applyFont="1" applyFill="1" applyBorder="1" applyAlignment="1">
      <alignment horizontal="left"/>
    </xf>
    <xf numFmtId="0" fontId="0" fillId="0" borderId="0" xfId="0" applyAlignment="1">
      <alignment horizontal="left"/>
    </xf>
    <xf numFmtId="0" fontId="56" fillId="0" borderId="4" xfId="0" applyFont="1" applyBorder="1" applyAlignment="1">
      <alignment vertical="center" wrapText="1"/>
    </xf>
    <xf numFmtId="0" fontId="56" fillId="0" borderId="11" xfId="0" applyFont="1" applyBorder="1" applyAlignment="1">
      <alignment vertical="center" wrapText="1"/>
    </xf>
    <xf numFmtId="49" fontId="15" fillId="3" borderId="0" xfId="0" applyNumberFormat="1" applyFont="1" applyFill="1" applyAlignment="1">
      <alignment horizontal="left" vertical="center"/>
    </xf>
    <xf numFmtId="49" fontId="0" fillId="0" borderId="0" xfId="0" applyNumberFormat="1" applyAlignment="1">
      <alignment horizontal="left"/>
    </xf>
    <xf numFmtId="49" fontId="0" fillId="0" borderId="0" xfId="0" quotePrefix="1" applyNumberFormat="1" applyAlignment="1">
      <alignment horizontal="left"/>
    </xf>
    <xf numFmtId="0" fontId="0" fillId="0" borderId="36" xfId="0" applyBorder="1" applyAlignment="1">
      <alignment horizontal="center" vertical="center"/>
    </xf>
    <xf numFmtId="0" fontId="33" fillId="0" borderId="36" xfId="0" applyFont="1" applyBorder="1" applyAlignment="1">
      <alignment vertical="center" wrapText="1"/>
    </xf>
    <xf numFmtId="0" fontId="0" fillId="0" borderId="59" xfId="0" applyBorder="1" applyAlignment="1">
      <alignment horizontal="center" vertical="center"/>
    </xf>
    <xf numFmtId="0" fontId="5" fillId="0" borderId="59" xfId="0" applyFont="1" applyBorder="1" applyAlignment="1">
      <alignment vertical="center" wrapText="1"/>
    </xf>
    <xf numFmtId="0" fontId="13" fillId="0" borderId="4" xfId="0" applyFont="1" applyBorder="1" applyAlignment="1">
      <alignment vertical="center"/>
    </xf>
    <xf numFmtId="0" fontId="5" fillId="0" borderId="1" xfId="0" applyFont="1" applyBorder="1" applyAlignment="1">
      <alignment vertical="center" wrapText="1"/>
    </xf>
    <xf numFmtId="0" fontId="57" fillId="0" borderId="0" xfId="0" applyFont="1" applyAlignment="1">
      <alignment vertical="top"/>
    </xf>
    <xf numFmtId="0" fontId="58" fillId="0" borderId="0" xfId="0" applyFont="1"/>
    <xf numFmtId="0" fontId="0" fillId="9" borderId="11" xfId="0" applyFill="1" applyBorder="1" applyAlignment="1">
      <alignment horizontal="center" vertical="center"/>
    </xf>
    <xf numFmtId="0" fontId="59" fillId="2" borderId="29" xfId="0" applyFont="1" applyFill="1" applyBorder="1" applyAlignment="1">
      <alignment horizontal="center" vertical="center" wrapText="1"/>
    </xf>
    <xf numFmtId="0" fontId="59" fillId="2" borderId="29" xfId="0" applyFont="1" applyFill="1" applyBorder="1" applyAlignment="1">
      <alignment horizontal="center" vertical="center"/>
    </xf>
    <xf numFmtId="0" fontId="22" fillId="0" borderId="0" xfId="0" applyFont="1" applyAlignment="1">
      <alignment vertical="center" wrapText="1"/>
    </xf>
    <xf numFmtId="0" fontId="52" fillId="0" borderId="0" xfId="0" applyFont="1" applyAlignment="1">
      <alignment horizontal="center"/>
    </xf>
    <xf numFmtId="0" fontId="0" fillId="0" borderId="47" xfId="0" applyBorder="1"/>
    <xf numFmtId="0" fontId="64" fillId="0" borderId="27" xfId="0" applyFont="1" applyBorder="1" applyAlignment="1">
      <alignment vertical="center"/>
    </xf>
    <xf numFmtId="0" fontId="65" fillId="2" borderId="0" xfId="0" applyFont="1" applyFill="1" applyAlignment="1">
      <alignment vertical="center"/>
    </xf>
    <xf numFmtId="0" fontId="55" fillId="0" borderId="0" xfId="0" applyFont="1" applyAlignment="1">
      <alignment vertical="center" textRotation="90" wrapText="1"/>
    </xf>
    <xf numFmtId="0" fontId="0" fillId="12" borderId="1" xfId="0" applyFill="1" applyBorder="1" applyAlignment="1">
      <alignment horizontal="center" vertical="center" wrapText="1"/>
    </xf>
    <xf numFmtId="0" fontId="5" fillId="12" borderId="1" xfId="0" applyFont="1" applyFill="1" applyBorder="1" applyAlignment="1">
      <alignment horizontal="center" vertical="center" wrapText="1"/>
    </xf>
    <xf numFmtId="16" fontId="0" fillId="0" borderId="0" xfId="0" applyNumberFormat="1" applyAlignment="1">
      <alignment horizontal="left"/>
    </xf>
    <xf numFmtId="0" fontId="2" fillId="0" borderId="2" xfId="0" applyFont="1" applyBorder="1" applyAlignment="1">
      <alignment horizontal="right"/>
    </xf>
    <xf numFmtId="0" fontId="2" fillId="0" borderId="10" xfId="0" applyFont="1" applyBorder="1" applyAlignment="1">
      <alignment horizontal="right"/>
    </xf>
    <xf numFmtId="0" fontId="0" fillId="0" borderId="32" xfId="0" applyBorder="1"/>
    <xf numFmtId="0" fontId="0" fillId="0" borderId="13" xfId="0" applyBorder="1"/>
    <xf numFmtId="0" fontId="2" fillId="0" borderId="3" xfId="0" applyFont="1" applyBorder="1" applyAlignment="1">
      <alignment horizontal="left"/>
    </xf>
    <xf numFmtId="0" fontId="0" fillId="0" borderId="35" xfId="0" applyBorder="1"/>
    <xf numFmtId="0" fontId="0" fillId="0" borderId="44" xfId="0" applyBorder="1"/>
    <xf numFmtId="0" fontId="0" fillId="0" borderId="7" xfId="0" applyBorder="1"/>
    <xf numFmtId="0" fontId="0" fillId="0" borderId="75" xfId="0" applyBorder="1"/>
    <xf numFmtId="0" fontId="0" fillId="0" borderId="76" xfId="0" applyBorder="1"/>
    <xf numFmtId="0" fontId="0" fillId="8" borderId="76" xfId="0" applyFill="1" applyBorder="1"/>
    <xf numFmtId="0" fontId="3" fillId="13" borderId="30" xfId="0" applyFont="1" applyFill="1" applyBorder="1"/>
    <xf numFmtId="0" fontId="3" fillId="0" borderId="9" xfId="0" applyFont="1" applyBorder="1"/>
    <xf numFmtId="0" fontId="0" fillId="0" borderId="43" xfId="0" applyBorder="1"/>
    <xf numFmtId="49" fontId="49" fillId="0" borderId="0" xfId="0" applyNumberFormat="1" applyFont="1"/>
    <xf numFmtId="49" fontId="49" fillId="0" borderId="0" xfId="0" applyNumberFormat="1" applyFont="1" applyAlignment="1">
      <alignment horizontal="center"/>
    </xf>
    <xf numFmtId="0" fontId="0" fillId="0" borderId="0" xfId="0" applyAlignment="1">
      <alignment horizontal="left" vertical="top"/>
    </xf>
    <xf numFmtId="0" fontId="56" fillId="0" borderId="4" xfId="0" applyFont="1" applyBorder="1" applyAlignment="1">
      <alignment horizontal="center" vertical="center" wrapText="1"/>
    </xf>
    <xf numFmtId="0" fontId="56" fillId="0" borderId="11" xfId="0" applyFont="1" applyBorder="1" applyAlignment="1">
      <alignment horizontal="center" vertical="center" wrapText="1"/>
    </xf>
    <xf numFmtId="0" fontId="10" fillId="0" borderId="9" xfId="0" applyFont="1" applyBorder="1" applyAlignment="1">
      <alignment horizontal="center" vertical="center"/>
    </xf>
    <xf numFmtId="0" fontId="0" fillId="0" borderId="2" xfId="0" applyBorder="1"/>
    <xf numFmtId="0" fontId="2" fillId="7" borderId="42" xfId="0" applyFont="1" applyFill="1" applyBorder="1"/>
    <xf numFmtId="0" fontId="5" fillId="13" borderId="30" xfId="0" applyFont="1" applyFill="1" applyBorder="1"/>
    <xf numFmtId="0" fontId="3" fillId="7" borderId="3" xfId="0" applyFont="1" applyFill="1" applyBorder="1"/>
    <xf numFmtId="0" fontId="0" fillId="0" borderId="3" xfId="0" applyBorder="1"/>
    <xf numFmtId="0" fontId="10" fillId="7" borderId="1" xfId="0" applyFont="1" applyFill="1" applyBorder="1"/>
    <xf numFmtId="0" fontId="2" fillId="0" borderId="58" xfId="0" applyFont="1" applyBorder="1"/>
    <xf numFmtId="0" fontId="3" fillId="7" borderId="2" xfId="0" applyFont="1" applyFill="1" applyBorder="1"/>
    <xf numFmtId="0" fontId="3" fillId="7" borderId="40" xfId="0" applyFont="1" applyFill="1" applyBorder="1"/>
    <xf numFmtId="0" fontId="11" fillId="16" borderId="42" xfId="0" applyFont="1" applyFill="1" applyBorder="1" applyAlignment="1">
      <alignment horizontal="center" vertical="top" wrapText="1"/>
    </xf>
    <xf numFmtId="0" fontId="11" fillId="16" borderId="6" xfId="0" applyFont="1" applyFill="1" applyBorder="1" applyAlignment="1">
      <alignment horizontal="center" vertical="top" wrapText="1"/>
    </xf>
    <xf numFmtId="0" fontId="11" fillId="16" borderId="43" xfId="0" applyFont="1" applyFill="1" applyBorder="1" applyAlignment="1">
      <alignment horizontal="center" vertical="top" wrapText="1"/>
    </xf>
    <xf numFmtId="0" fontId="11" fillId="0" borderId="42" xfId="0" applyFont="1" applyBorder="1" applyAlignment="1">
      <alignment vertical="top" wrapText="1"/>
    </xf>
    <xf numFmtId="0" fontId="77" fillId="0" borderId="6" xfId="0" applyFont="1" applyBorder="1" applyAlignment="1">
      <alignment vertical="top" wrapText="1"/>
    </xf>
    <xf numFmtId="0" fontId="0" fillId="15" borderId="1" xfId="0" applyFill="1" applyBorder="1" applyAlignment="1">
      <alignment horizontal="center" vertical="top" wrapText="1"/>
    </xf>
    <xf numFmtId="0" fontId="11" fillId="15" borderId="1" xfId="0" applyFont="1" applyFill="1" applyBorder="1" applyAlignment="1">
      <alignment horizontal="center" vertical="top" wrapText="1"/>
    </xf>
    <xf numFmtId="0" fontId="11" fillId="13" borderId="43" xfId="0" applyFont="1" applyFill="1" applyBorder="1" applyAlignment="1">
      <alignment vertical="top" wrapText="1"/>
    </xf>
    <xf numFmtId="0" fontId="77" fillId="13" borderId="43" xfId="0" applyFont="1" applyFill="1" applyBorder="1" applyAlignment="1">
      <alignment vertical="top" wrapText="1"/>
    </xf>
    <xf numFmtId="0" fontId="11" fillId="13" borderId="35" xfId="0" applyFont="1" applyFill="1" applyBorder="1" applyAlignment="1">
      <alignment vertical="top" wrapText="1"/>
    </xf>
    <xf numFmtId="0" fontId="77" fillId="13" borderId="35" xfId="0" applyFont="1" applyFill="1" applyBorder="1" applyAlignment="1">
      <alignment vertical="top" wrapText="1"/>
    </xf>
    <xf numFmtId="0" fontId="73" fillId="0" borderId="0" xfId="0" applyFont="1" applyAlignment="1">
      <alignment vertical="top" wrapText="1"/>
    </xf>
    <xf numFmtId="0" fontId="76" fillId="0" borderId="0" xfId="0" applyFont="1" applyAlignment="1">
      <alignment vertical="top" wrapText="1"/>
    </xf>
    <xf numFmtId="0" fontId="80" fillId="0" borderId="0" xfId="0" applyFont="1" applyAlignment="1">
      <alignment wrapText="1"/>
    </xf>
    <xf numFmtId="0" fontId="68" fillId="0" borderId="6" xfId="0" applyFont="1" applyBorder="1" applyAlignment="1">
      <alignment vertical="top" wrapText="1"/>
    </xf>
    <xf numFmtId="0" fontId="70" fillId="0" borderId="42" xfId="0" applyFont="1" applyBorder="1" applyAlignment="1">
      <alignment vertical="top" wrapText="1"/>
    </xf>
    <xf numFmtId="0" fontId="74" fillId="0" borderId="0" xfId="0" applyFont="1" applyAlignment="1">
      <alignment vertical="top" wrapText="1"/>
    </xf>
    <xf numFmtId="0" fontId="11" fillId="0" borderId="38" xfId="0" applyFont="1" applyBorder="1" applyAlignment="1">
      <alignment vertical="top" wrapText="1"/>
    </xf>
    <xf numFmtId="0" fontId="68" fillId="0" borderId="7" xfId="0" applyFont="1" applyBorder="1" applyAlignment="1">
      <alignment vertical="top" wrapText="1"/>
    </xf>
    <xf numFmtId="0" fontId="11" fillId="13" borderId="38" xfId="0" applyFont="1" applyFill="1" applyBorder="1" applyAlignment="1">
      <alignment vertical="top" wrapText="1"/>
    </xf>
    <xf numFmtId="0" fontId="68" fillId="13" borderId="7" xfId="0" applyFont="1" applyFill="1" applyBorder="1" applyAlignment="1">
      <alignment vertical="top" wrapText="1"/>
    </xf>
    <xf numFmtId="0" fontId="77" fillId="0" borderId="7" xfId="0" applyFont="1" applyBorder="1" applyAlignment="1">
      <alignment vertical="top" wrapText="1"/>
    </xf>
    <xf numFmtId="0" fontId="11" fillId="15" borderId="42" xfId="0" applyFont="1" applyFill="1" applyBorder="1" applyAlignment="1">
      <alignment horizontal="center" vertical="top" wrapText="1"/>
    </xf>
    <xf numFmtId="0" fontId="77" fillId="13" borderId="6" xfId="0" applyFont="1" applyFill="1" applyBorder="1" applyAlignment="1">
      <alignment vertical="top" wrapText="1"/>
    </xf>
    <xf numFmtId="0" fontId="71" fillId="0" borderId="6" xfId="0" applyFont="1" applyBorder="1" applyAlignment="1">
      <alignment vertical="top" wrapText="1"/>
    </xf>
    <xf numFmtId="0" fontId="70" fillId="13" borderId="43" xfId="0" applyFont="1" applyFill="1" applyBorder="1" applyAlignment="1">
      <alignment vertical="top" wrapText="1"/>
    </xf>
    <xf numFmtId="0" fontId="68" fillId="13" borderId="43" xfId="0" applyFont="1" applyFill="1" applyBorder="1" applyAlignment="1">
      <alignment vertical="top" wrapText="1"/>
    </xf>
    <xf numFmtId="0" fontId="69" fillId="13" borderId="43" xfId="0" applyFont="1" applyFill="1" applyBorder="1" applyAlignment="1">
      <alignment vertical="top" wrapText="1"/>
    </xf>
    <xf numFmtId="0" fontId="68" fillId="13" borderId="35" xfId="0" applyFont="1" applyFill="1" applyBorder="1" applyAlignment="1">
      <alignment vertical="top" wrapText="1"/>
    </xf>
    <xf numFmtId="0" fontId="70" fillId="0" borderId="38" xfId="0" applyFont="1" applyBorder="1" applyAlignment="1">
      <alignment vertical="top" wrapText="1"/>
    </xf>
    <xf numFmtId="0" fontId="11" fillId="0" borderId="0" xfId="0" applyFont="1" applyAlignment="1">
      <alignment horizontal="right" wrapText="1"/>
    </xf>
    <xf numFmtId="0" fontId="11" fillId="0" borderId="35" xfId="0" applyFont="1" applyBorder="1" applyAlignment="1">
      <alignment vertical="top" wrapText="1"/>
    </xf>
    <xf numFmtId="0" fontId="43" fillId="0" borderId="0" xfId="0" applyFont="1" applyAlignment="1">
      <alignment horizontal="center"/>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5" fillId="0" borderId="0" xfId="0" quotePrefix="1" applyFont="1" applyAlignment="1">
      <alignment wrapText="1"/>
    </xf>
    <xf numFmtId="0" fontId="18" fillId="0" borderId="7" xfId="0" applyFont="1" applyBorder="1" applyAlignment="1">
      <alignment vertical="top" wrapText="1"/>
    </xf>
    <xf numFmtId="0" fontId="83" fillId="13" borderId="35" xfId="0" applyFont="1" applyFill="1" applyBorder="1" applyAlignment="1">
      <alignment vertical="top" wrapText="1"/>
    </xf>
    <xf numFmtId="0" fontId="18" fillId="13" borderId="43" xfId="0" applyFont="1" applyFill="1" applyBorder="1" applyAlignment="1">
      <alignment vertical="top" wrapText="1"/>
    </xf>
    <xf numFmtId="0" fontId="2" fillId="0" borderId="16" xfId="0" applyFont="1" applyBorder="1"/>
    <xf numFmtId="0" fontId="10" fillId="0" borderId="5" xfId="0" applyFont="1" applyBorder="1" applyAlignment="1">
      <alignment horizontal="center" vertical="center"/>
    </xf>
    <xf numFmtId="0" fontId="11" fillId="16" borderId="1" xfId="0" applyFont="1" applyFill="1" applyBorder="1" applyAlignment="1">
      <alignment horizontal="center" vertical="top" wrapText="1"/>
    </xf>
    <xf numFmtId="0" fontId="11" fillId="13" borderId="1" xfId="0" applyFont="1" applyFill="1" applyBorder="1" applyAlignment="1">
      <alignment horizontal="left" vertical="top" wrapText="1"/>
    </xf>
    <xf numFmtId="0" fontId="11" fillId="0" borderId="1" xfId="0" applyFont="1" applyBorder="1" applyAlignment="1">
      <alignment horizontal="left" vertical="top" wrapText="1"/>
    </xf>
    <xf numFmtId="0" fontId="11" fillId="0" borderId="0" xfId="0" applyFont="1" applyAlignment="1">
      <alignment vertical="top" wrapText="1"/>
    </xf>
    <xf numFmtId="0" fontId="70" fillId="13" borderId="1" xfId="0" applyFont="1" applyFill="1" applyBorder="1" applyAlignment="1">
      <alignment horizontal="left" vertical="top" wrapText="1"/>
    </xf>
    <xf numFmtId="0" fontId="70" fillId="0" borderId="1" xfId="0" applyFont="1" applyBorder="1" applyAlignment="1">
      <alignment horizontal="left" vertical="top" wrapText="1"/>
    </xf>
    <xf numFmtId="0" fontId="11" fillId="0" borderId="1" xfId="0" applyFont="1" applyBorder="1" applyAlignment="1">
      <alignment horizontal="left"/>
    </xf>
    <xf numFmtId="0" fontId="11" fillId="0" borderId="1" xfId="0" applyFont="1" applyBorder="1" applyAlignment="1">
      <alignment horizontal="left" vertical="center"/>
    </xf>
    <xf numFmtId="0" fontId="11" fillId="13" borderId="1" xfId="0" applyFont="1" applyFill="1" applyBorder="1" applyAlignment="1">
      <alignment horizontal="left"/>
    </xf>
    <xf numFmtId="0" fontId="11" fillId="4" borderId="1" xfId="0" applyFont="1" applyFill="1" applyBorder="1"/>
    <xf numFmtId="0" fontId="11" fillId="4" borderId="1" xfId="0" applyFont="1" applyFill="1" applyBorder="1" applyAlignment="1">
      <alignment horizontal="left"/>
    </xf>
    <xf numFmtId="0" fontId="88" fillId="13" borderId="1" xfId="0" applyFont="1" applyFill="1" applyBorder="1" applyAlignment="1">
      <alignment horizontal="left"/>
    </xf>
    <xf numFmtId="0" fontId="89" fillId="4" borderId="1" xfId="0" applyFont="1" applyFill="1" applyBorder="1" applyAlignment="1">
      <alignment horizontal="left"/>
    </xf>
    <xf numFmtId="0" fontId="49" fillId="4" borderId="1" xfId="0" applyFont="1" applyFill="1" applyBorder="1"/>
    <xf numFmtId="0" fontId="3" fillId="0" borderId="1" xfId="0" applyFont="1" applyBorder="1" applyAlignment="1">
      <alignment horizontal="center" vertical="center" wrapText="1"/>
    </xf>
    <xf numFmtId="0" fontId="2" fillId="0" borderId="0" xfId="0" applyFont="1" applyAlignment="1">
      <alignment vertical="top"/>
    </xf>
    <xf numFmtId="0" fontId="8" fillId="0" borderId="0" xfId="0" applyFont="1" applyAlignment="1">
      <alignment horizontal="center" vertical="center"/>
    </xf>
    <xf numFmtId="0" fontId="24" fillId="0" borderId="0" xfId="0" applyFont="1" applyAlignment="1">
      <alignment horizontal="center" vertical="center"/>
    </xf>
    <xf numFmtId="0" fontId="15" fillId="0" borderId="0" xfId="0" applyFont="1" applyAlignment="1">
      <alignment horizontal="center"/>
    </xf>
    <xf numFmtId="0" fontId="47" fillId="2" borderId="58" xfId="0" applyFont="1" applyFill="1" applyBorder="1" applyAlignment="1">
      <alignment horizontal="center" vertical="center"/>
    </xf>
    <xf numFmtId="0" fontId="47" fillId="2" borderId="0" xfId="0" applyFont="1" applyFill="1" applyAlignment="1">
      <alignment horizontal="center" vertical="center"/>
    </xf>
    <xf numFmtId="0" fontId="0" fillId="0" borderId="1" xfId="0" applyBorder="1" applyAlignment="1">
      <alignment horizontal="center"/>
    </xf>
    <xf numFmtId="0" fontId="11" fillId="15" borderId="2" xfId="0" applyFont="1" applyFill="1" applyBorder="1" applyAlignment="1">
      <alignment horizontal="center" vertical="top" wrapText="1"/>
    </xf>
    <xf numFmtId="0" fontId="11" fillId="15" borderId="32" xfId="0" applyFont="1" applyFill="1" applyBorder="1" applyAlignment="1">
      <alignment horizontal="center" vertical="top" wrapText="1"/>
    </xf>
    <xf numFmtId="0" fontId="11" fillId="15" borderId="3" xfId="0" applyFont="1" applyFill="1" applyBorder="1" applyAlignment="1">
      <alignment horizontal="center" vertical="top" wrapText="1"/>
    </xf>
    <xf numFmtId="0" fontId="11" fillId="0" borderId="35" xfId="0" applyFont="1" applyBorder="1" applyAlignment="1">
      <alignment horizontal="left" vertical="top" wrapText="1"/>
    </xf>
    <xf numFmtId="0" fontId="11" fillId="0" borderId="0" xfId="0" applyFont="1" applyAlignment="1">
      <alignment horizontal="left" vertical="top" wrapText="1"/>
    </xf>
    <xf numFmtId="0" fontId="11" fillId="0" borderId="44" xfId="0" applyFont="1" applyBorder="1" applyAlignment="1">
      <alignment horizontal="left" vertical="top" wrapText="1"/>
    </xf>
    <xf numFmtId="0" fontId="43" fillId="2" borderId="58" xfId="0" applyFont="1" applyFill="1" applyBorder="1" applyAlignment="1">
      <alignment horizontal="center"/>
    </xf>
    <xf numFmtId="0" fontId="43" fillId="2" borderId="0" xfId="0" applyFont="1" applyFill="1" applyAlignment="1">
      <alignment horizontal="center"/>
    </xf>
    <xf numFmtId="0" fontId="11" fillId="0" borderId="38" xfId="0" applyFont="1" applyBorder="1" applyAlignment="1">
      <alignment horizontal="left" vertical="top" wrapText="1"/>
    </xf>
    <xf numFmtId="0" fontId="11" fillId="0" borderId="39" xfId="0" applyFont="1" applyBorder="1" applyAlignment="1">
      <alignment horizontal="left" vertical="top" wrapText="1"/>
    </xf>
    <xf numFmtId="0" fontId="11" fillId="0" borderId="40" xfId="0" applyFont="1" applyBorder="1" applyAlignment="1">
      <alignment horizontal="left" vertical="top" wrapText="1"/>
    </xf>
    <xf numFmtId="0" fontId="43" fillId="2" borderId="71" xfId="0" applyFont="1" applyFill="1" applyBorder="1" applyAlignment="1">
      <alignment horizontal="center"/>
    </xf>
    <xf numFmtId="0" fontId="43" fillId="2" borderId="41" xfId="0" applyFont="1" applyFill="1" applyBorder="1" applyAlignment="1">
      <alignment horizontal="center"/>
    </xf>
    <xf numFmtId="0" fontId="49" fillId="13" borderId="2" xfId="0" applyFont="1" applyFill="1" applyBorder="1" applyAlignment="1">
      <alignment horizontal="center" wrapText="1"/>
    </xf>
    <xf numFmtId="0" fontId="49" fillId="13" borderId="3" xfId="0" applyFont="1" applyFill="1" applyBorder="1" applyAlignment="1">
      <alignment horizontal="center" wrapText="1"/>
    </xf>
    <xf numFmtId="0" fontId="50" fillId="2" borderId="35" xfId="0" applyFont="1" applyFill="1" applyBorder="1" applyAlignment="1">
      <alignment horizontal="center"/>
    </xf>
    <xf numFmtId="0" fontId="50" fillId="2" borderId="0" xfId="0" applyFont="1" applyFill="1" applyAlignment="1">
      <alignment horizontal="center"/>
    </xf>
    <xf numFmtId="0" fontId="68" fillId="0" borderId="35" xfId="0" applyFont="1" applyBorder="1" applyAlignment="1">
      <alignment horizontal="left" vertical="top" wrapText="1"/>
    </xf>
    <xf numFmtId="0" fontId="68" fillId="0" borderId="0" xfId="0" applyFont="1" applyAlignment="1">
      <alignment horizontal="left" vertical="top" wrapText="1"/>
    </xf>
    <xf numFmtId="0" fontId="68" fillId="0" borderId="44" xfId="0" applyFont="1" applyBorder="1" applyAlignment="1">
      <alignment horizontal="left" vertical="top" wrapText="1"/>
    </xf>
    <xf numFmtId="0" fontId="11" fillId="13" borderId="38" xfId="0" applyFont="1" applyFill="1" applyBorder="1" applyAlignment="1">
      <alignment horizontal="left" vertical="top" wrapText="1"/>
    </xf>
    <xf numFmtId="0" fontId="11" fillId="13" borderId="39" xfId="0" applyFont="1" applyFill="1" applyBorder="1" applyAlignment="1">
      <alignment horizontal="left" vertical="top" wrapText="1"/>
    </xf>
    <xf numFmtId="0" fontId="11" fillId="13" borderId="40" xfId="0" applyFont="1" applyFill="1" applyBorder="1" applyAlignment="1">
      <alignment horizontal="left" vertical="top" wrapText="1"/>
    </xf>
    <xf numFmtId="0" fontId="81" fillId="13" borderId="7" xfId="0" applyFont="1" applyFill="1" applyBorder="1" applyAlignment="1">
      <alignment horizontal="left" vertical="top" wrapText="1"/>
    </xf>
    <xf numFmtId="0" fontId="81" fillId="13" borderId="41" xfId="0" applyFont="1" applyFill="1" applyBorder="1" applyAlignment="1">
      <alignment horizontal="left" vertical="top" wrapText="1"/>
    </xf>
    <xf numFmtId="0" fontId="81" fillId="13" borderId="75" xfId="0" applyFont="1" applyFill="1" applyBorder="1" applyAlignment="1">
      <alignment horizontal="left" vertical="top" wrapText="1"/>
    </xf>
    <xf numFmtId="0" fontId="70" fillId="0" borderId="38" xfId="0" applyFont="1" applyBorder="1" applyAlignment="1">
      <alignment horizontal="left" vertical="top" wrapText="1"/>
    </xf>
    <xf numFmtId="0" fontId="70" fillId="0" borderId="39" xfId="0" applyFont="1" applyBorder="1" applyAlignment="1">
      <alignment horizontal="left" vertical="top" wrapText="1"/>
    </xf>
    <xf numFmtId="0" fontId="70" fillId="0" borderId="40" xfId="0" applyFont="1" applyBorder="1" applyAlignment="1">
      <alignment horizontal="left" vertical="top" wrapText="1"/>
    </xf>
    <xf numFmtId="0" fontId="68" fillId="0" borderId="7" xfId="0" applyFont="1" applyBorder="1" applyAlignment="1">
      <alignment horizontal="left" vertical="top" wrapText="1"/>
    </xf>
    <xf numFmtId="0" fontId="68" fillId="0" borderId="41" xfId="0" applyFont="1" applyBorder="1" applyAlignment="1">
      <alignment horizontal="left" vertical="top" wrapText="1"/>
    </xf>
    <xf numFmtId="0" fontId="68" fillId="0" borderId="75" xfId="0" applyFont="1" applyBorder="1" applyAlignment="1">
      <alignment horizontal="left" vertical="top" wrapText="1"/>
    </xf>
    <xf numFmtId="0" fontId="77" fillId="13" borderId="7" xfId="0" applyFont="1" applyFill="1" applyBorder="1" applyAlignment="1">
      <alignment horizontal="left" vertical="top" wrapText="1"/>
    </xf>
    <xf numFmtId="0" fontId="77" fillId="13" borderId="41" xfId="0" applyFont="1" applyFill="1" applyBorder="1" applyAlignment="1">
      <alignment horizontal="left" vertical="top" wrapText="1"/>
    </xf>
    <xf numFmtId="0" fontId="77" fillId="13" borderId="75" xfId="0" applyFont="1" applyFill="1" applyBorder="1" applyAlignment="1">
      <alignment horizontal="left" vertical="top" wrapText="1"/>
    </xf>
    <xf numFmtId="0" fontId="17" fillId="0" borderId="39" xfId="0" applyFont="1" applyBorder="1" applyAlignment="1">
      <alignment horizontal="left" vertical="top" wrapText="1"/>
    </xf>
    <xf numFmtId="0" fontId="77" fillId="0" borderId="35" xfId="0" applyFont="1" applyBorder="1" applyAlignment="1">
      <alignment horizontal="left" vertical="top" wrapText="1"/>
    </xf>
    <xf numFmtId="0" fontId="77" fillId="0" borderId="0" xfId="0" applyFont="1" applyAlignment="1">
      <alignment horizontal="left" vertical="top" wrapText="1"/>
    </xf>
    <xf numFmtId="0" fontId="77" fillId="0" borderId="44" xfId="0" applyFont="1" applyBorder="1" applyAlignment="1">
      <alignment horizontal="left" vertical="top" wrapText="1"/>
    </xf>
    <xf numFmtId="0" fontId="77" fillId="0" borderId="7" xfId="0" applyFont="1" applyBorder="1" applyAlignment="1">
      <alignment horizontal="left" vertical="top" wrapText="1"/>
    </xf>
    <xf numFmtId="0" fontId="77" fillId="0" borderId="41" xfId="0" applyFont="1" applyBorder="1" applyAlignment="1">
      <alignment horizontal="left" vertical="top" wrapText="1"/>
    </xf>
    <xf numFmtId="0" fontId="77" fillId="0" borderId="75" xfId="0" applyFont="1" applyBorder="1" applyAlignment="1">
      <alignment horizontal="left" vertical="top" wrapText="1"/>
    </xf>
    <xf numFmtId="0" fontId="68" fillId="13" borderId="7" xfId="0" applyFont="1" applyFill="1" applyBorder="1" applyAlignment="1">
      <alignment horizontal="left" vertical="top" wrapText="1"/>
    </xf>
    <xf numFmtId="0" fontId="68" fillId="13" borderId="41" xfId="0" applyFont="1" applyFill="1" applyBorder="1" applyAlignment="1">
      <alignment horizontal="left" vertical="top" wrapText="1"/>
    </xf>
    <xf numFmtId="0" fontId="68" fillId="13" borderId="75" xfId="0" applyFont="1" applyFill="1" applyBorder="1" applyAlignment="1">
      <alignment horizontal="left" vertical="top" wrapText="1"/>
    </xf>
    <xf numFmtId="0" fontId="11" fillId="4" borderId="2" xfId="0" applyFont="1" applyFill="1" applyBorder="1" applyAlignment="1">
      <alignment horizontal="left"/>
    </xf>
    <xf numFmtId="0" fontId="11" fillId="4" borderId="32" xfId="0" applyFont="1" applyFill="1" applyBorder="1" applyAlignment="1">
      <alignment horizontal="left"/>
    </xf>
    <xf numFmtId="0" fontId="11" fillId="4" borderId="3" xfId="0" applyFont="1" applyFill="1" applyBorder="1" applyAlignment="1">
      <alignment horizontal="left"/>
    </xf>
    <xf numFmtId="0" fontId="11" fillId="4" borderId="1" xfId="0" applyFont="1" applyFill="1" applyBorder="1" applyAlignment="1">
      <alignment horizontal="left" vertical="center"/>
    </xf>
    <xf numFmtId="0" fontId="11" fillId="13" borderId="1" xfId="0" applyFont="1" applyFill="1" applyBorder="1" applyAlignment="1">
      <alignment horizontal="left" vertical="center"/>
    </xf>
    <xf numFmtId="0" fontId="11" fillId="13" borderId="2" xfId="0" applyFont="1" applyFill="1" applyBorder="1" applyAlignment="1">
      <alignment horizontal="left" vertical="center"/>
    </xf>
    <xf numFmtId="0" fontId="11" fillId="13" borderId="32" xfId="0" applyFont="1" applyFill="1" applyBorder="1" applyAlignment="1">
      <alignment horizontal="left" vertical="center"/>
    </xf>
    <xf numFmtId="0" fontId="11" fillId="13" borderId="3" xfId="0" applyFont="1" applyFill="1" applyBorder="1" applyAlignment="1">
      <alignment horizontal="left" vertical="center"/>
    </xf>
    <xf numFmtId="0" fontId="0" fillId="3" borderId="10" xfId="0" applyFill="1" applyBorder="1" applyAlignment="1">
      <alignment horizontal="center"/>
    </xf>
    <xf numFmtId="0" fontId="0" fillId="3" borderId="13" xfId="0" applyFill="1" applyBorder="1" applyAlignment="1">
      <alignment horizontal="center"/>
    </xf>
    <xf numFmtId="0" fontId="0" fillId="3" borderId="19" xfId="0" applyFill="1" applyBorder="1" applyAlignment="1">
      <alignment horizontal="center"/>
    </xf>
    <xf numFmtId="0" fontId="0" fillId="0" borderId="46" xfId="0" applyBorder="1" applyAlignment="1">
      <alignment horizontal="center"/>
    </xf>
    <xf numFmtId="0" fontId="0" fillId="0" borderId="53" xfId="0" applyBorder="1" applyAlignment="1">
      <alignment horizontal="center"/>
    </xf>
    <xf numFmtId="0" fontId="31" fillId="3" borderId="15" xfId="0" applyFont="1" applyFill="1" applyBorder="1" applyAlignment="1">
      <alignment horizontal="center" vertical="center"/>
    </xf>
    <xf numFmtId="0" fontId="38" fillId="0" borderId="63" xfId="0" applyFont="1" applyBorder="1" applyAlignment="1">
      <alignment horizontal="center" vertical="center"/>
    </xf>
    <xf numFmtId="0" fontId="38" fillId="0" borderId="64" xfId="0" applyFont="1" applyBorder="1" applyAlignment="1">
      <alignment horizontal="center" vertical="center"/>
    </xf>
    <xf numFmtId="0" fontId="38" fillId="0" borderId="22" xfId="0" applyFont="1" applyBorder="1" applyAlignment="1">
      <alignment horizontal="center" vertical="center"/>
    </xf>
    <xf numFmtId="0" fontId="5" fillId="0" borderId="1" xfId="0" applyFont="1" applyBorder="1" applyAlignment="1">
      <alignment horizontal="left" vertical="center"/>
    </xf>
    <xf numFmtId="0" fontId="5" fillId="0" borderId="18" xfId="0" applyFont="1" applyBorder="1" applyAlignment="1">
      <alignment horizontal="left" vertical="center"/>
    </xf>
    <xf numFmtId="0" fontId="0" fillId="0" borderId="1" xfId="0" applyBorder="1" applyAlignment="1">
      <alignment horizontal="left" vertical="center"/>
    </xf>
    <xf numFmtId="0" fontId="0" fillId="0" borderId="18" xfId="0" applyBorder="1" applyAlignment="1">
      <alignment horizontal="left" vertical="center"/>
    </xf>
    <xf numFmtId="0" fontId="1" fillId="2" borderId="23" xfId="0" applyFont="1" applyFill="1" applyBorder="1" applyAlignment="1">
      <alignment horizontal="center"/>
    </xf>
    <xf numFmtId="0" fontId="34" fillId="2" borderId="26" xfId="0" applyFont="1" applyFill="1" applyBorder="1" applyAlignment="1">
      <alignment horizontal="center"/>
    </xf>
    <xf numFmtId="0" fontId="34" fillId="2" borderId="20" xfId="0" applyFont="1" applyFill="1" applyBorder="1" applyAlignment="1">
      <alignment horizontal="center"/>
    </xf>
    <xf numFmtId="0" fontId="34" fillId="2" borderId="21" xfId="0" applyFont="1" applyFill="1" applyBorder="1" applyAlignment="1">
      <alignment horizontal="center"/>
    </xf>
    <xf numFmtId="0" fontId="0" fillId="0" borderId="2" xfId="0" applyBorder="1" applyAlignment="1">
      <alignment horizontal="left" vertical="center"/>
    </xf>
    <xf numFmtId="0" fontId="0" fillId="0" borderId="32"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5" fillId="0" borderId="2" xfId="0" applyFont="1" applyBorder="1" applyAlignment="1">
      <alignment horizontal="left" vertical="center"/>
    </xf>
    <xf numFmtId="0" fontId="5" fillId="0" borderId="32" xfId="0" applyFont="1" applyBorder="1" applyAlignment="1">
      <alignment horizontal="left" vertical="center"/>
    </xf>
    <xf numFmtId="0" fontId="5" fillId="0" borderId="3" xfId="0" applyFont="1" applyBorder="1" applyAlignment="1">
      <alignment horizontal="left" vertical="center"/>
    </xf>
    <xf numFmtId="0" fontId="0" fillId="3" borderId="2" xfId="0" applyFill="1" applyBorder="1" applyAlignment="1">
      <alignment horizontal="left"/>
    </xf>
    <xf numFmtId="0" fontId="0" fillId="3" borderId="32" xfId="0" applyFill="1" applyBorder="1" applyAlignment="1">
      <alignment horizontal="left"/>
    </xf>
    <xf numFmtId="0" fontId="0" fillId="3" borderId="3" xfId="0" applyFill="1" applyBorder="1" applyAlignment="1">
      <alignment horizontal="left"/>
    </xf>
    <xf numFmtId="0" fontId="5" fillId="0" borderId="2" xfId="0" applyFont="1" applyBorder="1" applyAlignment="1">
      <alignment horizontal="center" vertical="center"/>
    </xf>
    <xf numFmtId="0" fontId="5" fillId="0" borderId="32" xfId="0" applyFont="1" applyBorder="1" applyAlignment="1">
      <alignment horizontal="center" vertical="center"/>
    </xf>
    <xf numFmtId="0" fontId="5" fillId="0" borderId="3" xfId="0" applyFont="1" applyBorder="1" applyAlignment="1">
      <alignment horizontal="center" vertical="center"/>
    </xf>
    <xf numFmtId="0" fontId="2" fillId="0" borderId="10" xfId="0" applyFont="1" applyBorder="1" applyAlignment="1">
      <alignment horizontal="left" wrapText="1"/>
    </xf>
    <xf numFmtId="0" fontId="2" fillId="0" borderId="13" xfId="0" applyFont="1" applyBorder="1" applyAlignment="1">
      <alignment horizontal="left" wrapText="1"/>
    </xf>
    <xf numFmtId="0" fontId="2" fillId="0" borderId="5" xfId="0" applyFont="1" applyBorder="1" applyAlignment="1">
      <alignment horizontal="left" wrapText="1"/>
    </xf>
    <xf numFmtId="0" fontId="24" fillId="3" borderId="10" xfId="0" applyFont="1" applyFill="1" applyBorder="1" applyAlignment="1">
      <alignment horizontal="left"/>
    </xf>
    <xf numFmtId="0" fontId="24" fillId="3" borderId="13" xfId="0" applyFont="1" applyFill="1" applyBorder="1" applyAlignment="1">
      <alignment horizontal="left"/>
    </xf>
    <xf numFmtId="0" fontId="24" fillId="3" borderId="5" xfId="0" applyFont="1" applyFill="1" applyBorder="1" applyAlignment="1">
      <alignment horizontal="left"/>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24" fillId="0" borderId="10" xfId="0" applyFont="1" applyBorder="1" applyAlignment="1">
      <alignment horizontal="center"/>
    </xf>
    <xf numFmtId="0" fontId="24" fillId="0" borderId="13" xfId="0" applyFont="1" applyBorder="1" applyAlignment="1">
      <alignment horizontal="center"/>
    </xf>
    <xf numFmtId="0" fontId="24" fillId="0" borderId="19" xfId="0" applyFont="1" applyBorder="1" applyAlignment="1">
      <alignment horizontal="center"/>
    </xf>
    <xf numFmtId="0" fontId="1" fillId="0" borderId="0" xfId="0" applyFont="1" applyAlignment="1">
      <alignment horizontal="center"/>
    </xf>
    <xf numFmtId="0" fontId="0" fillId="0" borderId="14" xfId="0" applyBorder="1" applyAlignment="1">
      <alignment horizontal="center"/>
    </xf>
    <xf numFmtId="0" fontId="0" fillId="0" borderId="62" xfId="0" applyBorder="1" applyAlignment="1">
      <alignment horizontal="center"/>
    </xf>
    <xf numFmtId="0" fontId="0" fillId="0" borderId="14" xfId="0" applyBorder="1" applyAlignment="1">
      <alignment horizontal="center" vertical="center"/>
    </xf>
    <xf numFmtId="0" fontId="5" fillId="0" borderId="14" xfId="0" applyFont="1" applyBorder="1" applyAlignment="1">
      <alignment horizontal="center" vertical="center"/>
    </xf>
    <xf numFmtId="0" fontId="5" fillId="3" borderId="14" xfId="0" applyFont="1" applyFill="1" applyBorder="1" applyAlignment="1">
      <alignment horizontal="center" vertical="center"/>
    </xf>
    <xf numFmtId="0" fontId="0" fillId="3" borderId="14" xfId="0" applyFill="1" applyBorder="1" applyAlignment="1">
      <alignment horizontal="center" vertical="center"/>
    </xf>
    <xf numFmtId="0" fontId="4" fillId="3" borderId="12" xfId="0" applyFont="1" applyFill="1" applyBorder="1" applyAlignment="1">
      <alignment horizontal="center"/>
    </xf>
    <xf numFmtId="0" fontId="4" fillId="3" borderId="13" xfId="0" applyFont="1" applyFill="1" applyBorder="1" applyAlignment="1">
      <alignment horizontal="center"/>
    </xf>
    <xf numFmtId="0" fontId="4" fillId="3" borderId="19" xfId="0" applyFont="1" applyFill="1" applyBorder="1" applyAlignment="1">
      <alignment horizont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25" xfId="0" applyFont="1" applyBorder="1" applyAlignment="1">
      <alignment horizontal="center" vertical="center"/>
    </xf>
    <xf numFmtId="0" fontId="32" fillId="3" borderId="15" xfId="0" applyFont="1" applyFill="1" applyBorder="1" applyAlignment="1">
      <alignment horizontal="center" vertical="center"/>
    </xf>
    <xf numFmtId="0" fontId="4" fillId="4" borderId="12" xfId="0" applyFont="1" applyFill="1" applyBorder="1" applyAlignment="1">
      <alignment horizontal="center"/>
    </xf>
    <xf numFmtId="0" fontId="4" fillId="4" borderId="13" xfId="0" applyFont="1" applyFill="1" applyBorder="1" applyAlignment="1">
      <alignment horizontal="center"/>
    </xf>
    <xf numFmtId="0" fontId="4" fillId="4" borderId="19" xfId="0" applyFont="1" applyFill="1" applyBorder="1" applyAlignment="1">
      <alignment horizontal="center"/>
    </xf>
    <xf numFmtId="0" fontId="0" fillId="0" borderId="65" xfId="0" applyBorder="1" applyAlignment="1">
      <alignment horizontal="center" vertical="center"/>
    </xf>
    <xf numFmtId="0" fontId="0" fillId="0" borderId="43" xfId="0" applyBorder="1" applyAlignment="1">
      <alignment horizontal="center" vertical="center"/>
    </xf>
    <xf numFmtId="0" fontId="0" fillId="0" borderId="23" xfId="0" applyBorder="1" applyAlignment="1">
      <alignment horizontal="center" vertical="center"/>
    </xf>
    <xf numFmtId="0" fontId="5" fillId="0" borderId="65" xfId="0" applyFont="1" applyBorder="1" applyAlignment="1">
      <alignment horizontal="center" vertical="center"/>
    </xf>
    <xf numFmtId="0" fontId="5" fillId="0" borderId="43" xfId="0" applyFont="1" applyBorder="1" applyAlignment="1">
      <alignment horizontal="center" vertical="center"/>
    </xf>
    <xf numFmtId="0" fontId="5" fillId="0" borderId="23" xfId="0" applyFont="1" applyBorder="1" applyAlignment="1">
      <alignment horizontal="center" vertical="center"/>
    </xf>
    <xf numFmtId="0" fontId="5" fillId="0" borderId="20" xfId="0" applyFont="1" applyBorder="1" applyAlignment="1">
      <alignment horizontal="left" vertical="center" wrapText="1"/>
    </xf>
    <xf numFmtId="0" fontId="32" fillId="4" borderId="63" xfId="0" applyFont="1" applyFill="1" applyBorder="1" applyAlignment="1">
      <alignment horizontal="center" vertical="center"/>
    </xf>
    <xf numFmtId="0" fontId="32" fillId="4" borderId="64" xfId="0" applyFont="1" applyFill="1" applyBorder="1" applyAlignment="1">
      <alignment horizontal="center" vertical="center"/>
    </xf>
    <xf numFmtId="0" fontId="32" fillId="4" borderId="22" xfId="0" applyFont="1" applyFill="1" applyBorder="1" applyAlignment="1">
      <alignment horizontal="center" vertical="center"/>
    </xf>
    <xf numFmtId="0" fontId="0" fillId="0" borderId="33" xfId="0" applyBorder="1" applyAlignment="1">
      <alignment horizontal="center"/>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0" fillId="0" borderId="0" xfId="0" applyAlignment="1">
      <alignment horizontal="center"/>
    </xf>
    <xf numFmtId="0" fontId="5" fillId="0" borderId="36" xfId="0" applyFont="1" applyBorder="1" applyAlignment="1">
      <alignment horizontal="left" vertical="top"/>
    </xf>
    <xf numFmtId="0" fontId="32" fillId="3" borderId="63" xfId="0" applyFont="1" applyFill="1" applyBorder="1" applyAlignment="1">
      <alignment horizontal="center" vertical="center"/>
    </xf>
    <xf numFmtId="0" fontId="32" fillId="3" borderId="64" xfId="0" applyFont="1" applyFill="1" applyBorder="1" applyAlignment="1">
      <alignment horizontal="center" vertical="center"/>
    </xf>
    <xf numFmtId="0" fontId="5" fillId="3" borderId="12" xfId="0" applyFont="1" applyFill="1" applyBorder="1" applyAlignment="1">
      <alignment horizontal="center"/>
    </xf>
    <xf numFmtId="0" fontId="5" fillId="3" borderId="13" xfId="0" applyFont="1" applyFill="1" applyBorder="1" applyAlignment="1">
      <alignment horizontal="center"/>
    </xf>
    <xf numFmtId="0" fontId="5" fillId="3" borderId="5" xfId="0" applyFont="1" applyFill="1" applyBorder="1" applyAlignment="1">
      <alignment horizontal="center"/>
    </xf>
    <xf numFmtId="0" fontId="32" fillId="0" borderId="63" xfId="0" applyFont="1" applyBorder="1" applyAlignment="1">
      <alignment horizontal="center" vertical="center"/>
    </xf>
    <xf numFmtId="0" fontId="32" fillId="0" borderId="64" xfId="0" applyFont="1" applyBorder="1" applyAlignment="1">
      <alignment horizontal="center" vertical="center"/>
    </xf>
    <xf numFmtId="0" fontId="32" fillId="0" borderId="22" xfId="0" applyFont="1" applyBorder="1" applyAlignment="1">
      <alignment horizontal="center" vertical="center"/>
    </xf>
    <xf numFmtId="0" fontId="0" fillId="3" borderId="48" xfId="0" applyFill="1" applyBorder="1" applyAlignment="1">
      <alignment horizontal="center" vertical="center"/>
    </xf>
    <xf numFmtId="0" fontId="0" fillId="3" borderId="3"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xf>
    <xf numFmtId="0" fontId="0" fillId="3" borderId="32" xfId="0" applyFill="1" applyBorder="1" applyAlignment="1">
      <alignment horizontal="center" vertical="center"/>
    </xf>
    <xf numFmtId="0" fontId="5" fillId="0" borderId="2" xfId="0" applyFont="1" applyBorder="1" applyAlignment="1">
      <alignment horizontal="center" vertical="center" wrapText="1"/>
    </xf>
    <xf numFmtId="0" fontId="5" fillId="0" borderId="49" xfId="0" applyFont="1" applyBorder="1" applyAlignment="1">
      <alignment horizontal="center" vertical="center" wrapText="1"/>
    </xf>
    <xf numFmtId="0" fontId="2" fillId="0" borderId="1" xfId="0" applyFont="1" applyBorder="1" applyAlignment="1">
      <alignment horizontal="center" vertical="center"/>
    </xf>
    <xf numFmtId="0" fontId="30" fillId="2" borderId="45" xfId="0" applyFont="1" applyFill="1" applyBorder="1" applyAlignment="1">
      <alignment horizontal="center" vertical="center" wrapText="1"/>
    </xf>
    <xf numFmtId="0" fontId="30" fillId="2" borderId="46" xfId="0" applyFont="1" applyFill="1" applyBorder="1" applyAlignment="1">
      <alignment horizontal="center" vertical="center" wrapText="1"/>
    </xf>
    <xf numFmtId="0" fontId="26" fillId="2" borderId="46" xfId="0" applyFont="1" applyFill="1" applyBorder="1" applyAlignment="1">
      <alignment horizontal="center" vertical="center" wrapText="1"/>
    </xf>
    <xf numFmtId="0" fontId="26" fillId="2" borderId="53" xfId="0" applyFont="1" applyFill="1" applyBorder="1" applyAlignment="1">
      <alignment horizontal="center" vertical="center" wrapText="1"/>
    </xf>
    <xf numFmtId="0" fontId="5" fillId="0" borderId="19" xfId="0" applyFont="1" applyBorder="1" applyAlignment="1">
      <alignment horizontal="center" vertical="center" wrapText="1"/>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6" xfId="0" applyFont="1" applyBorder="1" applyAlignment="1">
      <alignment horizontal="center" vertical="center" wrapText="1"/>
    </xf>
    <xf numFmtId="0" fontId="33" fillId="2" borderId="37" xfId="0" applyFont="1" applyFill="1" applyBorder="1" applyAlignment="1">
      <alignment horizontal="center" vertical="center" wrapText="1"/>
    </xf>
    <xf numFmtId="0" fontId="33" fillId="2" borderId="56" xfId="0" applyFont="1" applyFill="1" applyBorder="1" applyAlignment="1">
      <alignment horizontal="center" vertical="center" wrapText="1"/>
    </xf>
    <xf numFmtId="0" fontId="0" fillId="0" borderId="47" xfId="0" applyBorder="1" applyAlignment="1">
      <alignment horizontal="center"/>
    </xf>
    <xf numFmtId="0" fontId="0" fillId="0" borderId="60" xfId="0" applyBorder="1" applyAlignment="1">
      <alignment horizontal="center"/>
    </xf>
    <xf numFmtId="0" fontId="35" fillId="2" borderId="37" xfId="0" applyFont="1" applyFill="1" applyBorder="1" applyAlignment="1">
      <alignment horizontal="center" vertical="center" wrapText="1"/>
    </xf>
    <xf numFmtId="0" fontId="35" fillId="2" borderId="36" xfId="0" applyFont="1" applyFill="1" applyBorder="1" applyAlignment="1">
      <alignment horizontal="center" vertical="center" wrapText="1"/>
    </xf>
    <xf numFmtId="0" fontId="26" fillId="2" borderId="37" xfId="0" applyFont="1" applyFill="1" applyBorder="1" applyAlignment="1">
      <alignment horizontal="center" vertical="center" wrapText="1"/>
    </xf>
    <xf numFmtId="0" fontId="26" fillId="2" borderId="47" xfId="0" applyFont="1" applyFill="1" applyBorder="1" applyAlignment="1">
      <alignment horizontal="center" vertical="center" wrapText="1"/>
    </xf>
    <xf numFmtId="0" fontId="26" fillId="2" borderId="56" xfId="0" applyFont="1" applyFill="1" applyBorder="1" applyAlignment="1">
      <alignment horizontal="center" vertical="center" wrapText="1"/>
    </xf>
    <xf numFmtId="0" fontId="26" fillId="2" borderId="60" xfId="0" applyFont="1" applyFill="1" applyBorder="1" applyAlignment="1">
      <alignment horizontal="center" vertical="center" wrapText="1"/>
    </xf>
    <xf numFmtId="0" fontId="5" fillId="0" borderId="50" xfId="0" applyFont="1" applyBorder="1" applyAlignment="1">
      <alignment horizontal="center" vertical="center" wrapText="1"/>
    </xf>
    <xf numFmtId="0" fontId="5" fillId="0" borderId="70" xfId="0" applyFont="1" applyBorder="1" applyAlignment="1">
      <alignment horizontal="center" vertical="center" wrapText="1"/>
    </xf>
    <xf numFmtId="0" fontId="41" fillId="0" borderId="11" xfId="0" applyFont="1" applyBorder="1" applyAlignment="1">
      <alignment horizontal="center"/>
    </xf>
    <xf numFmtId="0" fontId="41" fillId="0" borderId="9" xfId="0" applyFont="1" applyBorder="1" applyAlignment="1">
      <alignment horizontal="center"/>
    </xf>
    <xf numFmtId="0" fontId="41" fillId="0" borderId="16" xfId="0" applyFont="1" applyBorder="1" applyAlignment="1">
      <alignment horizontal="center"/>
    </xf>
    <xf numFmtId="0" fontId="0" fillId="0" borderId="49" xfId="0" applyBorder="1" applyAlignment="1">
      <alignment horizontal="center" vertical="center"/>
    </xf>
    <xf numFmtId="0" fontId="0" fillId="5" borderId="2" xfId="0" applyFill="1" applyBorder="1" applyAlignment="1">
      <alignment horizontal="center" vertical="center"/>
    </xf>
    <xf numFmtId="0" fontId="0" fillId="5" borderId="49" xfId="0" applyFill="1" applyBorder="1" applyAlignment="1">
      <alignment horizontal="center" vertical="center"/>
    </xf>
    <xf numFmtId="0" fontId="0" fillId="6" borderId="2" xfId="0" applyFill="1" applyBorder="1" applyAlignment="1">
      <alignment horizontal="center" vertical="center"/>
    </xf>
    <xf numFmtId="0" fontId="0" fillId="6" borderId="49" xfId="0" applyFill="1" applyBorder="1" applyAlignment="1">
      <alignment horizontal="center" vertical="center"/>
    </xf>
    <xf numFmtId="0" fontId="0" fillId="9" borderId="2" xfId="0" applyFill="1" applyBorder="1" applyAlignment="1">
      <alignment horizontal="center" vertical="center"/>
    </xf>
    <xf numFmtId="0" fontId="0" fillId="9" borderId="49" xfId="0" applyFill="1" applyBorder="1" applyAlignment="1">
      <alignment horizontal="center" vertical="center"/>
    </xf>
    <xf numFmtId="0" fontId="26" fillId="2" borderId="37" xfId="0" applyFont="1" applyFill="1" applyBorder="1" applyAlignment="1">
      <alignment horizontal="center"/>
    </xf>
    <xf numFmtId="0" fontId="26" fillId="2" borderId="36" xfId="0" applyFont="1" applyFill="1" applyBorder="1" applyAlignment="1">
      <alignment horizontal="center"/>
    </xf>
    <xf numFmtId="0" fontId="26" fillId="2" borderId="47" xfId="0" applyFont="1" applyFill="1" applyBorder="1" applyAlignment="1">
      <alignment horizontal="center"/>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34" fillId="2" borderId="37" xfId="0" applyFont="1" applyFill="1" applyBorder="1" applyAlignment="1">
      <alignment horizontal="center" vertical="center" wrapText="1"/>
    </xf>
    <xf numFmtId="0" fontId="34" fillId="2" borderId="56" xfId="0" applyFont="1" applyFill="1" applyBorder="1" applyAlignment="1">
      <alignment horizontal="center" vertical="center" wrapText="1"/>
    </xf>
    <xf numFmtId="0" fontId="26" fillId="2" borderId="36" xfId="0" applyFont="1" applyFill="1" applyBorder="1" applyAlignment="1">
      <alignment horizontal="center" vertical="center" wrapText="1"/>
    </xf>
    <xf numFmtId="0" fontId="26" fillId="2" borderId="58"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59" xfId="0" applyFont="1" applyFill="1" applyBorder="1" applyAlignment="1">
      <alignment horizontal="center" vertical="center" wrapText="1"/>
    </xf>
    <xf numFmtId="0" fontId="0" fillId="3" borderId="1" xfId="0" applyFill="1" applyBorder="1" applyAlignment="1">
      <alignment horizontal="center" vertical="center" wrapText="1"/>
    </xf>
    <xf numFmtId="0" fontId="5" fillId="0" borderId="37"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30" fillId="2" borderId="37" xfId="0" applyFont="1" applyFill="1" applyBorder="1" applyAlignment="1">
      <alignment horizontal="center" vertical="center" wrapText="1"/>
    </xf>
    <xf numFmtId="0" fontId="30" fillId="2" borderId="36" xfId="0" applyFont="1" applyFill="1" applyBorder="1" applyAlignment="1">
      <alignment horizontal="center" vertical="center" wrapText="1"/>
    </xf>
    <xf numFmtId="0" fontId="0" fillId="0" borderId="1" xfId="0" applyBorder="1" applyAlignment="1">
      <alignment horizontal="center" vertical="center"/>
    </xf>
    <xf numFmtId="0" fontId="30" fillId="2" borderId="47" xfId="0" applyFont="1" applyFill="1" applyBorder="1" applyAlignment="1">
      <alignment horizontal="center" vertical="center" wrapText="1"/>
    </xf>
    <xf numFmtId="0" fontId="30" fillId="2" borderId="53"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2" fillId="0" borderId="9" xfId="0" applyFont="1" applyBorder="1" applyAlignment="1">
      <alignment horizontal="center" vertical="center"/>
    </xf>
    <xf numFmtId="0" fontId="5" fillId="3" borderId="10"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0" fillId="9" borderId="1" xfId="0" applyFill="1" applyBorder="1" applyAlignment="1">
      <alignment horizontal="center" vertical="center"/>
    </xf>
    <xf numFmtId="0" fontId="26" fillId="2" borderId="46" xfId="0" applyFont="1" applyFill="1" applyBorder="1" applyAlignment="1">
      <alignment horizontal="center" vertical="center"/>
    </xf>
    <xf numFmtId="0" fontId="26" fillId="2" borderId="53"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6" fillId="2" borderId="45" xfId="0" applyFont="1" applyFill="1" applyBorder="1" applyAlignment="1">
      <alignment horizontal="center" vertical="center"/>
    </xf>
    <xf numFmtId="0" fontId="0" fillId="3" borderId="4" xfId="0" applyFill="1" applyBorder="1" applyAlignment="1">
      <alignment horizontal="center" vertical="center"/>
    </xf>
    <xf numFmtId="0" fontId="0" fillId="3" borderId="1" xfId="0" applyFill="1" applyBorder="1" applyAlignment="1">
      <alignment horizontal="center" vertical="center"/>
    </xf>
    <xf numFmtId="0" fontId="0" fillId="3" borderId="11" xfId="0" applyFill="1" applyBorder="1" applyAlignment="1">
      <alignment horizontal="center" vertical="center"/>
    </xf>
    <xf numFmtId="0" fontId="0" fillId="3" borderId="9" xfId="0" applyFill="1" applyBorder="1" applyAlignment="1">
      <alignment horizontal="center" vertical="center"/>
    </xf>
    <xf numFmtId="0" fontId="10" fillId="3" borderId="1" xfId="0" applyFont="1" applyFill="1" applyBorder="1" applyAlignment="1">
      <alignment horizontal="center" vertical="center"/>
    </xf>
    <xf numFmtId="0" fontId="10" fillId="3" borderId="18" xfId="0" applyFont="1" applyFill="1" applyBorder="1" applyAlignment="1">
      <alignment horizontal="center" vertical="center"/>
    </xf>
    <xf numFmtId="0" fontId="3" fillId="13" borderId="30" xfId="0" applyFont="1" applyFill="1" applyBorder="1" applyAlignment="1">
      <alignment horizontal="center"/>
    </xf>
    <xf numFmtId="0" fontId="3" fillId="13" borderId="31" xfId="0" applyFont="1" applyFill="1" applyBorder="1" applyAlignment="1">
      <alignment horizontal="center"/>
    </xf>
    <xf numFmtId="0" fontId="3" fillId="0" borderId="9" xfId="0" applyFont="1" applyBorder="1" applyAlignment="1">
      <alignment horizontal="center"/>
    </xf>
    <xf numFmtId="0" fontId="3" fillId="0" borderId="16" xfId="0" applyFont="1" applyBorder="1" applyAlignment="1">
      <alignment horizontal="center"/>
    </xf>
    <xf numFmtId="0" fontId="2" fillId="13" borderId="30" xfId="0" applyFont="1" applyFill="1" applyBorder="1" applyAlignment="1">
      <alignment horizontal="center"/>
    </xf>
    <xf numFmtId="0" fontId="3" fillId="0" borderId="10" xfId="0" applyFont="1" applyBorder="1" applyAlignment="1">
      <alignment horizontal="center"/>
    </xf>
    <xf numFmtId="0" fontId="3" fillId="0" borderId="13" xfId="0" applyFont="1" applyBorder="1" applyAlignment="1">
      <alignment horizontal="center"/>
    </xf>
    <xf numFmtId="0" fontId="3" fillId="0" borderId="5" xfId="0" applyFont="1" applyBorder="1" applyAlignment="1">
      <alignment horizontal="center"/>
    </xf>
    <xf numFmtId="0" fontId="13" fillId="0" borderId="1" xfId="0" applyFont="1" applyBorder="1" applyAlignment="1">
      <alignment horizontal="center" vertical="center" wrapText="1"/>
    </xf>
    <xf numFmtId="0" fontId="13" fillId="0" borderId="18" xfId="0" applyFont="1" applyBorder="1" applyAlignment="1">
      <alignment horizontal="center" vertical="center" wrapText="1"/>
    </xf>
    <xf numFmtId="0" fontId="13" fillId="5" borderId="1"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63" fillId="0" borderId="58" xfId="0" applyFont="1" applyBorder="1" applyAlignment="1">
      <alignment horizontal="center" vertical="center"/>
    </xf>
    <xf numFmtId="0" fontId="63" fillId="0" borderId="0" xfId="0" applyFont="1" applyAlignment="1">
      <alignment horizontal="center" vertical="center"/>
    </xf>
    <xf numFmtId="0" fontId="63" fillId="0" borderId="27" xfId="0" applyFont="1" applyBorder="1" applyAlignment="1">
      <alignment horizontal="center" vertical="center"/>
    </xf>
    <xf numFmtId="0" fontId="60" fillId="0" borderId="58" xfId="0" applyFont="1" applyBorder="1" applyAlignment="1">
      <alignment horizontal="center" vertical="center" textRotation="90"/>
    </xf>
    <xf numFmtId="0" fontId="60" fillId="0" borderId="0" xfId="0" applyFont="1" applyAlignment="1">
      <alignment horizontal="center" vertical="center" textRotation="90"/>
    </xf>
    <xf numFmtId="0" fontId="52" fillId="2" borderId="37" xfId="0" applyFont="1" applyFill="1" applyBorder="1" applyAlignment="1">
      <alignment horizontal="center"/>
    </xf>
    <xf numFmtId="0" fontId="52" fillId="2" borderId="36" xfId="0" applyFont="1" applyFill="1" applyBorder="1" applyAlignment="1">
      <alignment horizontal="center"/>
    </xf>
    <xf numFmtId="0" fontId="52" fillId="2" borderId="47" xfId="0" applyFont="1" applyFill="1" applyBorder="1" applyAlignment="1">
      <alignment horizontal="center"/>
    </xf>
    <xf numFmtId="0" fontId="0" fillId="0" borderId="18" xfId="0" applyBorder="1" applyAlignment="1">
      <alignment horizontal="center" vertical="center"/>
    </xf>
    <xf numFmtId="0" fontId="0" fillId="0" borderId="9" xfId="0" applyBorder="1" applyAlignment="1">
      <alignment horizontal="center"/>
    </xf>
    <xf numFmtId="0" fontId="0" fillId="0" borderId="16" xfId="0" applyBorder="1" applyAlignment="1">
      <alignment horizontal="center"/>
    </xf>
    <xf numFmtId="0" fontId="0" fillId="0" borderId="26"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10" fillId="13" borderId="4" xfId="0" applyFont="1" applyFill="1" applyBorder="1" applyAlignment="1">
      <alignment horizontal="center"/>
    </xf>
    <xf numFmtId="0" fontId="10" fillId="13" borderId="1" xfId="0" applyFont="1" applyFill="1" applyBorder="1" applyAlignment="1">
      <alignment horizontal="center"/>
    </xf>
    <xf numFmtId="0" fontId="55" fillId="0" borderId="2" xfId="0" applyFont="1" applyBorder="1" applyAlignment="1">
      <alignment horizontal="center" vertical="center" wrapText="1"/>
    </xf>
    <xf numFmtId="0" fontId="55" fillId="0" borderId="3" xfId="0" applyFont="1" applyBorder="1" applyAlignment="1">
      <alignment horizontal="center" vertical="center" wrapText="1"/>
    </xf>
    <xf numFmtId="0" fontId="5" fillId="14" borderId="48" xfId="0" applyFont="1" applyFill="1" applyBorder="1" applyAlignment="1">
      <alignment horizontal="center"/>
    </xf>
    <xf numFmtId="0" fontId="5" fillId="14" borderId="32" xfId="0" applyFont="1" applyFill="1" applyBorder="1" applyAlignment="1">
      <alignment horizontal="center"/>
    </xf>
    <xf numFmtId="0" fontId="5" fillId="14" borderId="3" xfId="0" applyFont="1" applyFill="1" applyBorder="1" applyAlignment="1">
      <alignment horizontal="center"/>
    </xf>
    <xf numFmtId="0" fontId="13" fillId="14" borderId="12" xfId="0" quotePrefix="1" applyFont="1" applyFill="1" applyBorder="1" applyAlignment="1">
      <alignment horizontal="center"/>
    </xf>
    <xf numFmtId="0" fontId="13" fillId="14" borderId="13" xfId="0" quotePrefix="1" applyFont="1" applyFill="1" applyBorder="1" applyAlignment="1">
      <alignment horizontal="center"/>
    </xf>
    <xf numFmtId="0" fontId="13" fillId="14" borderId="5" xfId="0" quotePrefix="1" applyFont="1" applyFill="1" applyBorder="1" applyAlignment="1">
      <alignment horizontal="center"/>
    </xf>
    <xf numFmtId="0" fontId="26" fillId="2" borderId="29" xfId="0" applyFont="1" applyFill="1" applyBorder="1" applyAlignment="1">
      <alignment horizontal="center"/>
    </xf>
    <xf numFmtId="0" fontId="26" fillId="2" borderId="30" xfId="0" applyFont="1" applyFill="1" applyBorder="1" applyAlignment="1">
      <alignment horizontal="center"/>
    </xf>
    <xf numFmtId="0" fontId="3" fillId="0" borderId="11" xfId="0" applyFont="1" applyBorder="1" applyAlignment="1">
      <alignment horizontal="center"/>
    </xf>
    <xf numFmtId="0" fontId="66" fillId="0" borderId="36" xfId="0" applyFont="1" applyBorder="1" applyAlignment="1">
      <alignment horizontal="center" textRotation="90" wrapText="1"/>
    </xf>
    <xf numFmtId="0" fontId="66" fillId="0" borderId="0" xfId="0" applyFont="1" applyAlignment="1">
      <alignment horizontal="center" textRotation="90" wrapText="1"/>
    </xf>
    <xf numFmtId="0" fontId="5" fillId="14" borderId="45" xfId="0" applyFont="1" applyFill="1" applyBorder="1" applyAlignment="1">
      <alignment horizontal="center"/>
    </xf>
    <xf numFmtId="0" fontId="5" fillId="14" borderId="46" xfId="0" applyFont="1" applyFill="1" applyBorder="1" applyAlignment="1">
      <alignment horizontal="center"/>
    </xf>
    <xf numFmtId="0" fontId="5" fillId="14" borderId="34" xfId="0" applyFont="1" applyFill="1" applyBorder="1" applyAlignment="1">
      <alignment horizontal="center"/>
    </xf>
    <xf numFmtId="0" fontId="61" fillId="0" borderId="37" xfId="0" applyFont="1" applyBorder="1" applyAlignment="1">
      <alignment horizontal="center" vertical="center"/>
    </xf>
    <xf numFmtId="0" fontId="62" fillId="0" borderId="36" xfId="0" applyFont="1" applyBorder="1" applyAlignment="1">
      <alignment horizontal="center" vertical="center"/>
    </xf>
    <xf numFmtId="0" fontId="10" fillId="12" borderId="1" xfId="0" applyFont="1" applyFill="1" applyBorder="1" applyAlignment="1">
      <alignment horizontal="center" vertical="center" wrapText="1"/>
    </xf>
    <xf numFmtId="0" fontId="0" fillId="12" borderId="1" xfId="0" applyFill="1" applyBorder="1" applyAlignment="1">
      <alignment horizontal="center" vertical="center" wrapText="1"/>
    </xf>
    <xf numFmtId="0" fontId="13" fillId="0" borderId="2"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49" xfId="0" applyFont="1" applyBorder="1" applyAlignment="1">
      <alignment horizontal="center" vertical="center" wrapText="1"/>
    </xf>
    <xf numFmtId="0" fontId="5" fillId="12" borderId="1" xfId="0" applyFont="1" applyFill="1" applyBorder="1" applyAlignment="1">
      <alignment horizontal="center" vertical="center" wrapText="1"/>
    </xf>
    <xf numFmtId="0" fontId="5" fillId="12" borderId="9" xfId="0" applyFont="1" applyFill="1" applyBorder="1" applyAlignment="1">
      <alignment horizontal="center" vertical="center" wrapText="1"/>
    </xf>
    <xf numFmtId="0" fontId="13" fillId="0" borderId="9" xfId="0" applyFont="1" applyBorder="1" applyAlignment="1">
      <alignment horizontal="center" vertical="center" wrapText="1"/>
    </xf>
    <xf numFmtId="0" fontId="13" fillId="0" borderId="16" xfId="0" applyFont="1" applyBorder="1" applyAlignment="1">
      <alignment horizontal="center" vertical="center" wrapText="1"/>
    </xf>
    <xf numFmtId="0" fontId="5" fillId="12" borderId="4" xfId="0" applyFont="1" applyFill="1" applyBorder="1" applyAlignment="1">
      <alignment horizontal="center" vertical="center" wrapText="1"/>
    </xf>
    <xf numFmtId="0" fontId="5" fillId="12" borderId="11" xfId="0" applyFont="1" applyFill="1" applyBorder="1" applyAlignment="1">
      <alignment horizontal="center" vertical="center" wrapText="1"/>
    </xf>
    <xf numFmtId="0" fontId="0" fillId="12" borderId="9" xfId="0" applyFill="1" applyBorder="1" applyAlignment="1">
      <alignment horizontal="center" vertical="center" wrapText="1"/>
    </xf>
    <xf numFmtId="0" fontId="3" fillId="0" borderId="1" xfId="0" applyFont="1" applyBorder="1" applyAlignment="1">
      <alignment horizontal="center" vertical="center" shrinkToFit="1"/>
    </xf>
    <xf numFmtId="0" fontId="10" fillId="13" borderId="33" xfId="0" applyFont="1" applyFill="1" applyBorder="1" applyAlignment="1">
      <alignment horizontal="center"/>
    </xf>
    <xf numFmtId="0" fontId="10" fillId="13" borderId="46" xfId="0" applyFont="1" applyFill="1" applyBorder="1" applyAlignment="1">
      <alignment horizontal="center"/>
    </xf>
    <xf numFmtId="0" fontId="10" fillId="13" borderId="53" xfId="0" applyFont="1" applyFill="1" applyBorder="1" applyAlignment="1">
      <alignment horizontal="center"/>
    </xf>
    <xf numFmtId="0" fontId="0" fillId="0" borderId="32" xfId="0" applyBorder="1" applyAlignment="1">
      <alignment horizontal="center" shrinkToFit="1"/>
    </xf>
    <xf numFmtId="0" fontId="0" fillId="0" borderId="49" xfId="0" applyBorder="1" applyAlignment="1">
      <alignment horizontal="center" shrinkToFit="1"/>
    </xf>
    <xf numFmtId="0" fontId="0" fillId="0" borderId="10" xfId="0" applyBorder="1" applyAlignment="1">
      <alignment horizontal="center" shrinkToFit="1"/>
    </xf>
    <xf numFmtId="0" fontId="0" fillId="0" borderId="13" xfId="0" applyBorder="1" applyAlignment="1">
      <alignment horizontal="center" shrinkToFit="1"/>
    </xf>
    <xf numFmtId="0" fontId="0" fillId="0" borderId="19" xfId="0" applyBorder="1" applyAlignment="1">
      <alignment horizontal="center" shrinkToFit="1"/>
    </xf>
    <xf numFmtId="0" fontId="0" fillId="13" borderId="33" xfId="0" applyFill="1" applyBorder="1" applyAlignment="1">
      <alignment horizontal="center"/>
    </xf>
    <xf numFmtId="0" fontId="0" fillId="13" borderId="46" xfId="0" applyFill="1" applyBorder="1" applyAlignment="1">
      <alignment horizontal="center"/>
    </xf>
    <xf numFmtId="0" fontId="0" fillId="13" borderId="34" xfId="0" applyFill="1" applyBorder="1" applyAlignment="1">
      <alignment horizontal="center"/>
    </xf>
    <xf numFmtId="0" fontId="10" fillId="12" borderId="4"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26" fillId="2" borderId="29" xfId="0" applyFont="1" applyFill="1" applyBorder="1" applyAlignment="1">
      <alignment horizontal="center" vertical="center" wrapText="1"/>
    </xf>
    <xf numFmtId="0" fontId="26" fillId="2" borderId="30" xfId="0" applyFont="1" applyFill="1" applyBorder="1" applyAlignment="1">
      <alignment horizontal="center" vertical="center" wrapText="1"/>
    </xf>
    <xf numFmtId="0" fontId="26" fillId="2" borderId="31" xfId="0" applyFont="1" applyFill="1" applyBorder="1" applyAlignment="1">
      <alignment horizontal="center" vertical="center" wrapText="1"/>
    </xf>
    <xf numFmtId="0" fontId="3" fillId="0" borderId="9" xfId="0" applyFont="1" applyBorder="1" applyAlignment="1">
      <alignment horizontal="center" vertical="center" shrinkToFit="1"/>
    </xf>
    <xf numFmtId="0" fontId="9" fillId="13" borderId="1" xfId="0" applyFont="1" applyFill="1" applyBorder="1" applyAlignment="1">
      <alignment horizontal="center"/>
    </xf>
    <xf numFmtId="0" fontId="52" fillId="2" borderId="45" xfId="0" applyFont="1" applyFill="1" applyBorder="1" applyAlignment="1">
      <alignment horizontal="center"/>
    </xf>
    <xf numFmtId="0" fontId="52" fillId="2" borderId="46" xfId="0" applyFont="1" applyFill="1" applyBorder="1" applyAlignment="1">
      <alignment horizontal="center"/>
    </xf>
    <xf numFmtId="0" fontId="52" fillId="2" borderId="53" xfId="0" applyFont="1" applyFill="1" applyBorder="1" applyAlignment="1">
      <alignment horizontal="center"/>
    </xf>
    <xf numFmtId="0" fontId="0" fillId="0" borderId="58" xfId="0" applyBorder="1" applyAlignment="1">
      <alignment horizontal="center"/>
    </xf>
    <xf numFmtId="0" fontId="0" fillId="0" borderId="56" xfId="0" applyBorder="1" applyAlignment="1">
      <alignment horizontal="center"/>
    </xf>
    <xf numFmtId="0" fontId="0" fillId="0" borderId="59" xfId="0" applyBorder="1" applyAlignment="1">
      <alignment horizontal="center"/>
    </xf>
    <xf numFmtId="0" fontId="0" fillId="13" borderId="2" xfId="0" applyFill="1" applyBorder="1" applyAlignment="1">
      <alignment horizontal="center"/>
    </xf>
    <xf numFmtId="0" fontId="0" fillId="13" borderId="32" xfId="0" applyFill="1" applyBorder="1" applyAlignment="1">
      <alignment horizont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0" fillId="13" borderId="11" xfId="0" applyFill="1" applyBorder="1" applyAlignment="1">
      <alignment horizontal="center"/>
    </xf>
    <xf numFmtId="0" fontId="0" fillId="13" borderId="9" xfId="0" applyFill="1" applyBorder="1" applyAlignment="1">
      <alignment horizontal="center"/>
    </xf>
    <xf numFmtId="0" fontId="1" fillId="2" borderId="29" xfId="0" applyFont="1" applyFill="1" applyBorder="1" applyAlignment="1">
      <alignment horizontal="center"/>
    </xf>
    <xf numFmtId="0" fontId="1" fillId="2" borderId="34" xfId="0" applyFont="1" applyFill="1" applyBorder="1" applyAlignment="1">
      <alignment horizontal="center"/>
    </xf>
    <xf numFmtId="0" fontId="1" fillId="2" borderId="30" xfId="0" applyFont="1" applyFill="1" applyBorder="1" applyAlignment="1">
      <alignment horizontal="center"/>
    </xf>
    <xf numFmtId="0" fontId="1" fillId="2" borderId="31" xfId="0" applyFont="1" applyFill="1" applyBorder="1" applyAlignment="1">
      <alignment horizontal="center"/>
    </xf>
    <xf numFmtId="0" fontId="2" fillId="0" borderId="54" xfId="0" applyFont="1" applyBorder="1" applyAlignment="1">
      <alignment horizontal="center"/>
    </xf>
    <xf numFmtId="0" fontId="2" fillId="0" borderId="39" xfId="0" applyFont="1" applyBorder="1" applyAlignment="1">
      <alignment horizontal="center"/>
    </xf>
    <xf numFmtId="0" fontId="5" fillId="0" borderId="13" xfId="0" applyFont="1" applyBorder="1" applyAlignment="1">
      <alignment horizontal="center" vertical="center" wrapText="1"/>
    </xf>
    <xf numFmtId="0" fontId="0" fillId="0" borderId="32" xfId="0" applyBorder="1" applyAlignment="1">
      <alignment horizontal="center" vertical="center"/>
    </xf>
    <xf numFmtId="0" fontId="10" fillId="0" borderId="2" xfId="0" applyFont="1" applyBorder="1" applyAlignment="1">
      <alignment horizontal="center" vertical="center"/>
    </xf>
    <xf numFmtId="0" fontId="10" fillId="0" borderId="32" xfId="0" applyFont="1" applyBorder="1" applyAlignment="1">
      <alignment horizontal="center" vertical="center"/>
    </xf>
    <xf numFmtId="0" fontId="10" fillId="3" borderId="2" xfId="0" applyFont="1" applyFill="1" applyBorder="1" applyAlignment="1">
      <alignment horizontal="center"/>
    </xf>
    <xf numFmtId="0" fontId="10" fillId="3" borderId="32" xfId="0" applyFont="1" applyFill="1" applyBorder="1" applyAlignment="1">
      <alignment horizontal="center"/>
    </xf>
    <xf numFmtId="0" fontId="10" fillId="3" borderId="3" xfId="0" applyFont="1" applyFill="1" applyBorder="1" applyAlignment="1">
      <alignment horizontal="center"/>
    </xf>
    <xf numFmtId="0" fontId="0" fillId="3" borderId="2" xfId="0" applyFill="1" applyBorder="1" applyAlignment="1">
      <alignment horizontal="center"/>
    </xf>
    <xf numFmtId="0" fontId="0" fillId="3" borderId="32" xfId="0" applyFill="1" applyBorder="1" applyAlignment="1">
      <alignment horizontal="center"/>
    </xf>
    <xf numFmtId="0" fontId="0" fillId="3" borderId="3" xfId="0" applyFill="1" applyBorder="1" applyAlignment="1">
      <alignment horizontal="center"/>
    </xf>
    <xf numFmtId="0" fontId="0" fillId="0" borderId="4" xfId="0" applyBorder="1" applyAlignment="1">
      <alignment horizontal="center"/>
    </xf>
    <xf numFmtId="0" fontId="0" fillId="0" borderId="18" xfId="0" applyBorder="1" applyAlignment="1">
      <alignment horizontal="center"/>
    </xf>
    <xf numFmtId="0" fontId="0" fillId="4" borderId="10" xfId="0" applyFill="1" applyBorder="1" applyAlignment="1">
      <alignment horizontal="center"/>
    </xf>
    <xf numFmtId="0" fontId="0" fillId="4" borderId="13" xfId="0" applyFill="1" applyBorder="1" applyAlignment="1">
      <alignment horizontal="center"/>
    </xf>
    <xf numFmtId="0" fontId="0" fillId="4" borderId="19" xfId="0" applyFill="1" applyBorder="1" applyAlignment="1">
      <alignment horizontal="center"/>
    </xf>
    <xf numFmtId="0" fontId="0" fillId="0" borderId="11" xfId="0" applyBorder="1" applyAlignment="1">
      <alignment horizontal="center"/>
    </xf>
    <xf numFmtId="0" fontId="2" fillId="0" borderId="2" xfId="0" applyFont="1" applyBorder="1" applyAlignment="1">
      <alignment horizontal="left" vertical="center"/>
    </xf>
    <xf numFmtId="0" fontId="2" fillId="0" borderId="32" xfId="0" applyFont="1" applyBorder="1" applyAlignment="1">
      <alignment horizontal="left" vertical="center"/>
    </xf>
    <xf numFmtId="0" fontId="2" fillId="0" borderId="3" xfId="0" applyFont="1" applyBorder="1" applyAlignment="1">
      <alignment horizontal="left" vertical="center"/>
    </xf>
    <xf numFmtId="0" fontId="5" fillId="0" borderId="1" xfId="0" applyFont="1" applyBorder="1" applyAlignment="1">
      <alignment horizontal="left" vertical="center" wrapText="1"/>
    </xf>
    <xf numFmtId="0" fontId="5" fillId="0" borderId="18" xfId="0" applyFont="1" applyBorder="1" applyAlignment="1">
      <alignment horizontal="left" vertical="center" wrapText="1"/>
    </xf>
    <xf numFmtId="0" fontId="3" fillId="3" borderId="33" xfId="0" applyFont="1" applyFill="1" applyBorder="1" applyAlignment="1">
      <alignment horizontal="left"/>
    </xf>
    <xf numFmtId="0" fontId="3" fillId="3" borderId="46" xfId="0" applyFont="1" applyFill="1" applyBorder="1" applyAlignment="1">
      <alignment horizontal="left"/>
    </xf>
    <xf numFmtId="0" fontId="3" fillId="3" borderId="34" xfId="0" applyFont="1" applyFill="1" applyBorder="1" applyAlignment="1">
      <alignment horizontal="left"/>
    </xf>
    <xf numFmtId="0" fontId="0" fillId="0" borderId="34" xfId="0" applyBorder="1" applyAlignment="1">
      <alignment horizontal="center"/>
    </xf>
    <xf numFmtId="0" fontId="5" fillId="0" borderId="46" xfId="0" applyFont="1" applyBorder="1" applyAlignment="1">
      <alignment horizontal="center" vertical="center" wrapText="1"/>
    </xf>
    <xf numFmtId="0" fontId="0" fillId="3" borderId="30" xfId="0" applyFill="1" applyBorder="1" applyAlignment="1">
      <alignment horizontal="center"/>
    </xf>
    <xf numFmtId="0" fontId="4" fillId="13" borderId="1" xfId="0" applyFont="1" applyFill="1" applyBorder="1" applyAlignment="1">
      <alignment horizontal="center"/>
    </xf>
    <xf numFmtId="0" fontId="4" fillId="13" borderId="2" xfId="0" applyFont="1" applyFill="1" applyBorder="1" applyAlignment="1">
      <alignment horizontal="center"/>
    </xf>
    <xf numFmtId="0" fontId="4" fillId="13" borderId="18" xfId="0" applyFont="1" applyFill="1" applyBorder="1" applyAlignment="1">
      <alignment horizontal="center"/>
    </xf>
    <xf numFmtId="0" fontId="66" fillId="0" borderId="2" xfId="0" applyFont="1" applyBorder="1" applyAlignment="1">
      <alignment horizontal="center" vertical="top" wrapText="1"/>
    </xf>
    <xf numFmtId="0" fontId="66" fillId="0" borderId="32" xfId="0" applyFont="1" applyBorder="1" applyAlignment="1">
      <alignment horizontal="center" vertical="top" wrapText="1"/>
    </xf>
    <xf numFmtId="0" fontId="66" fillId="0" borderId="49" xfId="0" applyFont="1" applyBorder="1" applyAlignment="1">
      <alignment horizontal="center" vertical="top" wrapTex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49" fontId="49" fillId="0" borderId="36" xfId="0" applyNumberFormat="1" applyFont="1" applyBorder="1" applyAlignment="1">
      <alignment horizontal="center"/>
    </xf>
    <xf numFmtId="0" fontId="55" fillId="0" borderId="10" xfId="0" applyFont="1" applyBorder="1" applyAlignment="1">
      <alignment horizontal="center" vertical="center" wrapText="1"/>
    </xf>
    <xf numFmtId="0" fontId="55" fillId="0" borderId="5" xfId="0" applyFont="1" applyBorder="1" applyAlignment="1">
      <alignment horizontal="center" vertical="center" wrapText="1"/>
    </xf>
    <xf numFmtId="0" fontId="4" fillId="0" borderId="10" xfId="0" applyFont="1" applyBorder="1" applyAlignment="1">
      <alignment horizontal="center" vertical="center" shrinkToFit="1"/>
    </xf>
    <xf numFmtId="0" fontId="4" fillId="0" borderId="5" xfId="0" applyFont="1" applyBorder="1" applyAlignment="1">
      <alignment horizontal="center" vertical="center" shrinkToFit="1"/>
    </xf>
    <xf numFmtId="0" fontId="5" fillId="9" borderId="9"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61" fillId="0" borderId="56" xfId="0" applyFont="1" applyBorder="1" applyAlignment="1">
      <alignment horizontal="center" vertical="center" shrinkToFit="1"/>
    </xf>
    <xf numFmtId="0" fontId="61" fillId="0" borderId="59" xfId="0" applyFont="1" applyBorder="1" applyAlignment="1">
      <alignment horizontal="center" vertical="center" shrinkToFit="1"/>
    </xf>
    <xf numFmtId="0" fontId="61" fillId="0" borderId="60" xfId="0" applyFont="1" applyBorder="1" applyAlignment="1">
      <alignment horizontal="center" vertical="center" shrinkToFit="1"/>
    </xf>
    <xf numFmtId="0" fontId="0" fillId="13" borderId="30" xfId="0" applyFill="1" applyBorder="1" applyAlignment="1">
      <alignment horizontal="center" vertical="center" wrapText="1"/>
    </xf>
    <xf numFmtId="0" fontId="0" fillId="13" borderId="31" xfId="0" applyFill="1" applyBorder="1" applyAlignment="1">
      <alignment horizontal="center" vertical="center" wrapText="1"/>
    </xf>
    <xf numFmtId="0" fontId="66" fillId="0" borderId="10" xfId="0" applyFont="1" applyBorder="1" applyAlignment="1">
      <alignment horizontal="center" vertical="top" wrapText="1"/>
    </xf>
    <xf numFmtId="0" fontId="66" fillId="0" borderId="13" xfId="0" applyFont="1" applyBorder="1" applyAlignment="1">
      <alignment horizontal="center" vertical="top" wrapText="1"/>
    </xf>
    <xf numFmtId="0" fontId="66" fillId="0" borderId="19" xfId="0" applyFont="1" applyBorder="1" applyAlignment="1">
      <alignment horizontal="center" vertical="top" wrapText="1"/>
    </xf>
    <xf numFmtId="0" fontId="5" fillId="6" borderId="18" xfId="0"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10" fillId="4" borderId="69" xfId="0" applyFont="1" applyFill="1" applyBorder="1" applyAlignment="1">
      <alignment horizontal="center"/>
    </xf>
    <xf numFmtId="0" fontId="10" fillId="4" borderId="21" xfId="0" applyFont="1" applyFill="1" applyBorder="1" applyAlignment="1">
      <alignment horizont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5" xfId="0" applyFont="1" applyFill="1" applyBorder="1" applyAlignment="1">
      <alignment horizontal="center" vertical="center"/>
    </xf>
    <xf numFmtId="0" fontId="5" fillId="3" borderId="26"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5"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57" xfId="0" applyFont="1" applyBorder="1" applyAlignment="1">
      <alignment horizontal="center" vertical="center" wrapText="1"/>
    </xf>
    <xf numFmtId="0" fontId="3" fillId="3" borderId="26" xfId="0" applyFont="1" applyFill="1" applyBorder="1" applyAlignment="1">
      <alignment horizontal="center" vertical="center"/>
    </xf>
    <xf numFmtId="0" fontId="3" fillId="3" borderId="61" xfId="0" applyFont="1" applyFill="1" applyBorder="1" applyAlignment="1">
      <alignment horizontal="center" vertical="center"/>
    </xf>
    <xf numFmtId="0" fontId="0" fillId="3" borderId="45" xfId="0" applyFill="1" applyBorder="1" applyAlignment="1">
      <alignment horizontal="center" vertical="center"/>
    </xf>
    <xf numFmtId="0" fontId="0" fillId="3" borderId="34" xfId="0" applyFill="1" applyBorder="1" applyAlignment="1">
      <alignment horizontal="center" vertical="center"/>
    </xf>
    <xf numFmtId="0" fontId="10" fillId="0" borderId="48" xfId="0" applyFont="1" applyBorder="1" applyAlignment="1">
      <alignment horizontal="center"/>
    </xf>
    <xf numFmtId="0" fontId="10" fillId="0" borderId="3" xfId="0" applyFont="1" applyBorder="1" applyAlignment="1">
      <alignment horizontal="center"/>
    </xf>
    <xf numFmtId="0" fontId="10" fillId="0" borderId="12" xfId="0" applyFont="1" applyBorder="1" applyAlignment="1">
      <alignment horizontal="center"/>
    </xf>
    <xf numFmtId="0" fontId="10" fillId="0" borderId="5" xfId="0" applyFont="1" applyBorder="1" applyAlignment="1">
      <alignment horizontal="center"/>
    </xf>
    <xf numFmtId="0" fontId="26" fillId="2" borderId="0" xfId="0" applyFont="1" applyFill="1" applyAlignment="1">
      <alignment horizontal="center"/>
    </xf>
    <xf numFmtId="0" fontId="13" fillId="0" borderId="1" xfId="0" applyFont="1" applyBorder="1" applyAlignment="1">
      <alignment horizontal="left" vertical="center" wrapText="1"/>
    </xf>
    <xf numFmtId="0" fontId="3" fillId="0" borderId="36" xfId="0" applyFont="1" applyBorder="1" applyAlignment="1">
      <alignment horizontal="center" vertical="center" wrapText="1"/>
    </xf>
    <xf numFmtId="0" fontId="3" fillId="0" borderId="0" xfId="0" applyFont="1" applyAlignment="1">
      <alignment horizontal="center" vertical="center" wrapText="1"/>
    </xf>
    <xf numFmtId="0" fontId="39" fillId="3" borderId="37" xfId="0" applyFont="1" applyFill="1" applyBorder="1" applyAlignment="1">
      <alignment horizontal="center"/>
    </xf>
    <xf numFmtId="0" fontId="39" fillId="3" borderId="36" xfId="0" applyFont="1" applyFill="1" applyBorder="1" applyAlignment="1">
      <alignment horizontal="center"/>
    </xf>
    <xf numFmtId="0" fontId="39" fillId="3" borderId="77" xfId="0" applyFont="1" applyFill="1" applyBorder="1" applyAlignment="1">
      <alignment horizontal="center"/>
    </xf>
    <xf numFmtId="0" fontId="13" fillId="0" borderId="9" xfId="0" applyFont="1" applyBorder="1" applyAlignment="1">
      <alignment horizontal="left"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3" borderId="36" xfId="0" applyFont="1" applyFill="1" applyBorder="1" applyAlignment="1">
      <alignment horizontal="center" vertical="center" wrapText="1"/>
    </xf>
    <xf numFmtId="0" fontId="3" fillId="3" borderId="36" xfId="0" applyFont="1" applyFill="1" applyBorder="1" applyAlignment="1">
      <alignment horizontal="right" vertical="center" wrapText="1"/>
    </xf>
    <xf numFmtId="0" fontId="0" fillId="0" borderId="9" xfId="0" applyBorder="1" applyAlignment="1">
      <alignment horizontal="center" vertical="center"/>
    </xf>
    <xf numFmtId="0" fontId="26" fillId="2" borderId="26" xfId="0" applyFont="1" applyFill="1" applyBorder="1" applyAlignment="1">
      <alignment horizontal="center"/>
    </xf>
    <xf numFmtId="0" fontId="26" fillId="2" borderId="20" xfId="0" applyFont="1" applyFill="1" applyBorder="1" applyAlignment="1">
      <alignment horizontal="center"/>
    </xf>
    <xf numFmtId="0" fontId="26" fillId="2" borderId="21" xfId="0" applyFont="1" applyFill="1" applyBorder="1" applyAlignment="1">
      <alignment horizontal="center"/>
    </xf>
    <xf numFmtId="0" fontId="0" fillId="3" borderId="2" xfId="0" applyFill="1" applyBorder="1" applyAlignment="1">
      <alignment horizontal="center" vertical="center"/>
    </xf>
    <xf numFmtId="0" fontId="0" fillId="0" borderId="38" xfId="0" applyBorder="1" applyAlignment="1">
      <alignment horizontal="center" vertical="center"/>
    </xf>
    <xf numFmtId="0" fontId="0" fillId="0" borderId="40" xfId="0" applyBorder="1" applyAlignment="1">
      <alignment horizontal="center" vertical="center"/>
    </xf>
    <xf numFmtId="0" fontId="0" fillId="0" borderId="7" xfId="0" applyBorder="1" applyAlignment="1">
      <alignment horizontal="center" vertical="center"/>
    </xf>
    <xf numFmtId="0" fontId="0" fillId="0" borderId="75" xfId="0" applyBorder="1" applyAlignment="1">
      <alignment horizontal="center" vertical="center"/>
    </xf>
    <xf numFmtId="0" fontId="39" fillId="3" borderId="45" xfId="0" applyFont="1" applyFill="1" applyBorder="1" applyAlignment="1">
      <alignment horizontal="center"/>
    </xf>
    <xf numFmtId="0" fontId="39" fillId="3" borderId="46" xfId="0" applyFont="1" applyFill="1" applyBorder="1" applyAlignment="1">
      <alignment horizontal="center"/>
    </xf>
    <xf numFmtId="0" fontId="39" fillId="3" borderId="34" xfId="0" applyFont="1" applyFill="1" applyBorder="1" applyAlignment="1">
      <alignment horizontal="center"/>
    </xf>
    <xf numFmtId="0" fontId="0" fillId="0" borderId="16" xfId="0" applyBorder="1" applyAlignment="1">
      <alignment horizontal="center" vertical="center"/>
    </xf>
    <xf numFmtId="0" fontId="4" fillId="0" borderId="14" xfId="0" applyFont="1" applyBorder="1" applyAlignment="1">
      <alignment horizontal="center"/>
    </xf>
    <xf numFmtId="0" fontId="4" fillId="0" borderId="62" xfId="0" applyFont="1" applyBorder="1" applyAlignment="1">
      <alignment horizontal="center"/>
    </xf>
    <xf numFmtId="0" fontId="0" fillId="0" borderId="69" xfId="0" applyBorder="1" applyAlignment="1">
      <alignment horizontal="center"/>
    </xf>
    <xf numFmtId="0" fontId="10" fillId="3" borderId="26" xfId="0" applyFont="1" applyFill="1" applyBorder="1" applyAlignment="1">
      <alignment horizontal="center"/>
    </xf>
    <xf numFmtId="0" fontId="10" fillId="3" borderId="61" xfId="0" applyFont="1" applyFill="1" applyBorder="1" applyAlignment="1">
      <alignment horizontal="center"/>
    </xf>
    <xf numFmtId="0" fontId="0" fillId="3" borderId="33" xfId="0" applyFill="1" applyBorder="1" applyAlignment="1">
      <alignment horizontal="center" vertical="center"/>
    </xf>
    <xf numFmtId="0" fontId="0" fillId="3" borderId="46" xfId="0" applyFill="1" applyBorder="1" applyAlignment="1">
      <alignment horizontal="center" vertical="center"/>
    </xf>
    <xf numFmtId="0" fontId="0" fillId="3" borderId="18" xfId="0" applyFill="1" applyBorder="1" applyAlignment="1">
      <alignment horizontal="center" vertical="center"/>
    </xf>
    <xf numFmtId="0" fontId="10" fillId="0" borderId="68" xfId="0" applyFont="1" applyBorder="1" applyAlignment="1">
      <alignment horizontal="center" vertical="center"/>
    </xf>
    <xf numFmtId="0" fontId="10" fillId="0" borderId="8" xfId="0" applyFont="1" applyBorder="1" applyAlignment="1">
      <alignment horizontal="center" vertical="center"/>
    </xf>
    <xf numFmtId="0" fontId="2" fillId="0" borderId="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42" xfId="0" applyBorder="1" applyAlignment="1">
      <alignment horizontal="center" vertical="center"/>
    </xf>
    <xf numFmtId="0" fontId="0" fillId="0" borderId="6" xfId="0" applyBorder="1" applyAlignment="1">
      <alignment horizontal="center" vertical="center"/>
    </xf>
    <xf numFmtId="0" fontId="24" fillId="0" borderId="2" xfId="0" applyFont="1" applyBorder="1" applyAlignment="1">
      <alignment horizontal="center" vertical="center" wrapText="1"/>
    </xf>
    <xf numFmtId="0" fontId="24" fillId="0" borderId="49"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8" xfId="0" applyFont="1" applyBorder="1" applyAlignment="1">
      <alignment horizontal="center" vertical="center"/>
    </xf>
    <xf numFmtId="0" fontId="24" fillId="0" borderId="1" xfId="0" applyFont="1" applyBorder="1" applyAlignment="1">
      <alignment horizontal="center" vertical="center"/>
    </xf>
    <xf numFmtId="0" fontId="24" fillId="0" borderId="18" xfId="0" applyFont="1" applyBorder="1" applyAlignment="1">
      <alignment horizontal="center" vertical="center"/>
    </xf>
    <xf numFmtId="0" fontId="37" fillId="2" borderId="29" xfId="0" applyFont="1" applyFill="1" applyBorder="1" applyAlignment="1">
      <alignment horizontal="center" vertical="center" wrapText="1"/>
    </xf>
    <xf numFmtId="0" fontId="37" fillId="2" borderId="30" xfId="0" applyFont="1" applyFill="1" applyBorder="1" applyAlignment="1">
      <alignment horizontal="center" vertical="center" wrapText="1"/>
    </xf>
    <xf numFmtId="0" fontId="37" fillId="2" borderId="31" xfId="0" applyFont="1" applyFill="1" applyBorder="1" applyAlignment="1">
      <alignment horizontal="center" vertical="center" wrapText="1"/>
    </xf>
    <xf numFmtId="0" fontId="24" fillId="0" borderId="10" xfId="0" applyFont="1" applyBorder="1" applyAlignment="1">
      <alignment horizontal="center" vertical="center" wrapText="1"/>
    </xf>
    <xf numFmtId="0" fontId="24" fillId="0" borderId="19" xfId="0" applyFont="1" applyBorder="1" applyAlignment="1">
      <alignment horizontal="center" vertical="center" wrapText="1"/>
    </xf>
    <xf numFmtId="0" fontId="26" fillId="2" borderId="58"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164" fontId="3" fillId="3" borderId="2" xfId="1" applyFont="1" applyFill="1" applyBorder="1" applyAlignment="1">
      <alignment horizontal="center"/>
    </xf>
    <xf numFmtId="164" fontId="3" fillId="3" borderId="32" xfId="1" applyFont="1" applyFill="1" applyBorder="1" applyAlignment="1">
      <alignment horizontal="center"/>
    </xf>
    <xf numFmtId="164" fontId="3" fillId="3" borderId="3" xfId="1" applyFont="1" applyFill="1" applyBorder="1" applyAlignment="1">
      <alignment horizontal="center"/>
    </xf>
    <xf numFmtId="0" fontId="26" fillId="2" borderId="45" xfId="0" applyFont="1" applyFill="1" applyBorder="1" applyAlignment="1">
      <alignment horizontal="center"/>
    </xf>
    <xf numFmtId="0" fontId="26" fillId="2" borderId="46" xfId="0" applyFont="1" applyFill="1" applyBorder="1" applyAlignment="1">
      <alignment horizontal="center"/>
    </xf>
    <xf numFmtId="0" fontId="26" fillId="2" borderId="53" xfId="0" applyFont="1" applyFill="1" applyBorder="1" applyAlignment="1">
      <alignment horizontal="center"/>
    </xf>
    <xf numFmtId="0" fontId="2" fillId="0" borderId="55" xfId="0" quotePrefix="1" applyFont="1" applyBorder="1" applyAlignment="1">
      <alignment horizontal="center" vertical="center" wrapText="1"/>
    </xf>
    <xf numFmtId="0" fontId="2" fillId="0" borderId="25" xfId="0" quotePrefix="1" applyFont="1" applyBorder="1" applyAlignment="1">
      <alignment horizontal="center" vertical="center" wrapText="1"/>
    </xf>
    <xf numFmtId="0" fontId="27" fillId="0" borderId="48" xfId="0" applyFont="1" applyBorder="1" applyAlignment="1">
      <alignment horizontal="left" vertical="center"/>
    </xf>
    <xf numFmtId="0" fontId="27" fillId="0" borderId="3" xfId="0" applyFont="1" applyBorder="1" applyAlignment="1">
      <alignment horizontal="left" vertical="center"/>
    </xf>
    <xf numFmtId="0" fontId="28" fillId="0" borderId="54" xfId="0" applyFont="1" applyBorder="1" applyAlignment="1">
      <alignment horizontal="left" vertical="center"/>
    </xf>
    <xf numFmtId="0" fontId="28" fillId="0" borderId="40" xfId="0" applyFont="1" applyBorder="1" applyAlignment="1">
      <alignment horizontal="left" vertical="center"/>
    </xf>
    <xf numFmtId="0" fontId="28" fillId="0" borderId="56" xfId="0" applyFont="1" applyBorder="1" applyAlignment="1">
      <alignment horizontal="left" vertical="center"/>
    </xf>
    <xf numFmtId="0" fontId="28" fillId="0" borderId="57" xfId="0" applyFont="1" applyBorder="1" applyAlignment="1">
      <alignment horizontal="left" vertical="center"/>
    </xf>
    <xf numFmtId="0" fontId="2" fillId="0" borderId="42" xfId="0" quotePrefix="1" applyFont="1" applyBorder="1" applyAlignment="1">
      <alignment horizontal="center" vertical="center" wrapText="1"/>
    </xf>
    <xf numFmtId="0" fontId="2" fillId="0" borderId="23" xfId="0" quotePrefix="1" applyFont="1" applyBorder="1" applyAlignment="1">
      <alignment horizontal="center" vertical="center" wrapText="1"/>
    </xf>
    <xf numFmtId="0" fontId="2" fillId="0" borderId="38" xfId="0" quotePrefix="1" applyFont="1" applyBorder="1" applyAlignment="1">
      <alignment horizontal="center" vertical="center" wrapText="1"/>
    </xf>
    <xf numFmtId="0" fontId="2" fillId="0" borderId="40" xfId="0" quotePrefix="1" applyFont="1" applyBorder="1" applyAlignment="1">
      <alignment horizontal="center" vertical="center" wrapText="1"/>
    </xf>
    <xf numFmtId="0" fontId="2" fillId="0" borderId="24" xfId="0" quotePrefix="1" applyFont="1" applyBorder="1" applyAlignment="1">
      <alignment horizontal="center" vertical="center" wrapText="1"/>
    </xf>
    <xf numFmtId="0" fontId="2" fillId="0" borderId="57" xfId="0" quotePrefix="1"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50" xfId="0" applyBorder="1" applyAlignment="1">
      <alignment horizontal="center" vertical="center"/>
    </xf>
    <xf numFmtId="0" fontId="0" fillId="0" borderId="70" xfId="0" applyBorder="1" applyAlignment="1">
      <alignment horizontal="center" vertical="center"/>
    </xf>
    <xf numFmtId="0" fontId="37" fillId="2" borderId="37" xfId="0" applyFont="1" applyFill="1" applyBorder="1" applyAlignment="1">
      <alignment horizontal="center" vertical="center" wrapText="1"/>
    </xf>
    <xf numFmtId="0" fontId="37" fillId="2" borderId="36" xfId="0" applyFont="1" applyFill="1" applyBorder="1" applyAlignment="1">
      <alignment horizontal="center" vertical="center" wrapText="1"/>
    </xf>
    <xf numFmtId="0" fontId="37" fillId="2" borderId="47" xfId="0" applyFont="1" applyFill="1" applyBorder="1" applyAlignment="1">
      <alignment horizontal="center" vertical="center" wrapText="1"/>
    </xf>
    <xf numFmtId="0" fontId="5" fillId="0" borderId="59" xfId="0" applyFont="1" applyBorder="1" applyAlignment="1">
      <alignment horizontal="center" vertical="top" wrapText="1"/>
    </xf>
    <xf numFmtId="0" fontId="28" fillId="0" borderId="33" xfId="0" applyFont="1" applyBorder="1" applyAlignment="1">
      <alignment horizontal="center"/>
    </xf>
    <xf numFmtId="0" fontId="28" fillId="0" borderId="46" xfId="0" applyFont="1" applyBorder="1" applyAlignment="1">
      <alignment horizontal="center"/>
    </xf>
    <xf numFmtId="0" fontId="26" fillId="2" borderId="26" xfId="0" applyFont="1" applyFill="1" applyBorder="1" applyAlignment="1">
      <alignment horizontal="center" vertical="center"/>
    </xf>
    <xf numFmtId="0" fontId="26" fillId="2" borderId="20" xfId="0" applyFont="1" applyFill="1" applyBorder="1" applyAlignment="1">
      <alignment horizontal="center" vertical="center"/>
    </xf>
    <xf numFmtId="0" fontId="0" fillId="0" borderId="47" xfId="0" applyBorder="1" applyAlignment="1">
      <alignment horizontal="center" vertical="center"/>
    </xf>
    <xf numFmtId="0" fontId="0" fillId="0" borderId="60" xfId="0" applyBorder="1" applyAlignment="1">
      <alignment horizontal="center" vertical="center"/>
    </xf>
    <xf numFmtId="49" fontId="0" fillId="0" borderId="37" xfId="0" applyNumberFormat="1" applyBorder="1" applyAlignment="1">
      <alignment horizontal="center" vertical="center" wrapText="1"/>
    </xf>
    <xf numFmtId="49" fontId="0" fillId="0" borderId="36" xfId="0" applyNumberFormat="1" applyBorder="1" applyAlignment="1">
      <alignment horizontal="center" vertical="center" wrapText="1"/>
    </xf>
    <xf numFmtId="49" fontId="0" fillId="0" borderId="47" xfId="0" applyNumberFormat="1" applyBorder="1" applyAlignment="1">
      <alignment horizontal="center" vertical="center" wrapText="1"/>
    </xf>
    <xf numFmtId="49" fontId="0" fillId="0" borderId="58"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27" xfId="0" applyNumberFormat="1" applyBorder="1" applyAlignment="1">
      <alignment horizontal="center" vertical="center" wrapText="1"/>
    </xf>
    <xf numFmtId="49" fontId="0" fillId="0" borderId="56" xfId="0" applyNumberFormat="1" applyBorder="1" applyAlignment="1">
      <alignment horizontal="center" vertical="center" wrapText="1"/>
    </xf>
    <xf numFmtId="49" fontId="0" fillId="0" borderId="59" xfId="0" applyNumberFormat="1" applyBorder="1" applyAlignment="1">
      <alignment horizontal="center" vertical="center" wrapText="1"/>
    </xf>
    <xf numFmtId="49" fontId="0" fillId="0" borderId="60" xfId="0" applyNumberFormat="1" applyBorder="1" applyAlignment="1">
      <alignment horizontal="center" vertical="center" wrapText="1"/>
    </xf>
    <xf numFmtId="0" fontId="29" fillId="2" borderId="45" xfId="0" applyFont="1" applyFill="1" applyBorder="1" applyAlignment="1">
      <alignment horizontal="center" wrapText="1"/>
    </xf>
    <xf numFmtId="0" fontId="29" fillId="2" borderId="53" xfId="0" applyFont="1" applyFill="1" applyBorder="1" applyAlignment="1">
      <alignment horizontal="center" wrapText="1"/>
    </xf>
    <xf numFmtId="0" fontId="18" fillId="0" borderId="10" xfId="0" applyFont="1" applyBorder="1" applyAlignment="1">
      <alignment horizontal="center"/>
    </xf>
    <xf numFmtId="0" fontId="18" fillId="0" borderId="5" xfId="0" applyFont="1" applyBorder="1" applyAlignment="1">
      <alignment horizontal="center"/>
    </xf>
    <xf numFmtId="0" fontId="18" fillId="0" borderId="2" xfId="0" applyFont="1" applyBorder="1" applyAlignment="1">
      <alignment horizontal="center"/>
    </xf>
    <xf numFmtId="0" fontId="18" fillId="0" borderId="3" xfId="0" applyFont="1" applyBorder="1" applyAlignment="1">
      <alignment horizontal="center"/>
    </xf>
    <xf numFmtId="0" fontId="26" fillId="2" borderId="34" xfId="0" applyFont="1" applyFill="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6" xfId="0" applyBorder="1" applyAlignment="1">
      <alignment horizontal="left"/>
    </xf>
    <xf numFmtId="0" fontId="0" fillId="0" borderId="21" xfId="0" applyBorder="1" applyAlignment="1">
      <alignment horizontal="left"/>
    </xf>
  </cellXfs>
  <cellStyles count="2">
    <cellStyle name="Monétaire" xfId="1" builtinId="4"/>
    <cellStyle name="Normal" xfId="0" builtinId="0"/>
  </cellStyles>
  <dxfs count="5">
    <dxf>
      <font>
        <color theme="0" tint="-0.34998626667073579"/>
      </font>
      <fill>
        <patternFill>
          <bgColor theme="0" tint="-0.34998626667073579"/>
        </patternFill>
      </fill>
    </dxf>
    <dxf>
      <font>
        <color rgb="FFFF0000"/>
      </font>
    </dxf>
    <dxf>
      <font>
        <color rgb="FFFF0000"/>
      </font>
    </dxf>
    <dxf>
      <font>
        <strike val="0"/>
        <color theme="0"/>
      </font>
      <fill>
        <patternFill patternType="none">
          <fgColor indexed="64"/>
          <bgColor auto="1"/>
        </patternFill>
      </fill>
      <border>
        <left/>
        <right/>
        <top/>
        <bottom/>
        <vertical/>
        <horizontal/>
      </border>
    </dxf>
    <dxf>
      <font>
        <color theme="0"/>
      </font>
      <fill>
        <patternFill patternType="none">
          <bgColor auto="1"/>
        </patternFill>
      </fill>
      <border>
        <left/>
        <right/>
        <top/>
        <bottom/>
        <vertical/>
        <horizontal/>
      </border>
    </dxf>
  </dxfs>
  <tableStyles count="0" defaultTableStyle="TableStyleMedium2" defaultPivotStyle="PivotStyleLight16"/>
  <colors>
    <mruColors>
      <color rgb="FF6CFB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231910</xdr:colOff>
      <xdr:row>1</xdr:row>
      <xdr:rowOff>0</xdr:rowOff>
    </xdr:from>
    <xdr:to>
      <xdr:col>11</xdr:col>
      <xdr:colOff>543338</xdr:colOff>
      <xdr:row>2</xdr:row>
      <xdr:rowOff>52011</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2467" y="59635"/>
          <a:ext cx="1106558" cy="442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108085</xdr:colOff>
      <xdr:row>1</xdr:row>
      <xdr:rowOff>9525</xdr:rowOff>
    </xdr:from>
    <xdr:to>
      <xdr:col>12</xdr:col>
      <xdr:colOff>318879</xdr:colOff>
      <xdr:row>2</xdr:row>
      <xdr:rowOff>44971</xdr:rowOff>
    </xdr:to>
    <xdr:pic>
      <xdr:nvPicPr>
        <xdr:cNvPr id="5" name="Imag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4659" y="62534"/>
          <a:ext cx="1092063" cy="4330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390942</xdr:colOff>
      <xdr:row>0</xdr:row>
      <xdr:rowOff>13252</xdr:rowOff>
    </xdr:from>
    <xdr:to>
      <xdr:col>12</xdr:col>
      <xdr:colOff>13255</xdr:colOff>
      <xdr:row>2</xdr:row>
      <xdr:rowOff>45385</xdr:rowOff>
    </xdr:to>
    <xdr:pic>
      <xdr:nvPicPr>
        <xdr:cNvPr id="5" name="Imag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5481" y="13252"/>
          <a:ext cx="1106558" cy="442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eu%20de%20r&#244;les/L5R/L5R%20Omegad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to"/>
      <sheetName val="Verso"/>
      <sheetName val="Recto2"/>
      <sheetName val="Verso2"/>
      <sheetName val="Familles"/>
      <sheetName val="Ecoles"/>
      <sheetName val="Voies"/>
      <sheetName val="Avantages"/>
      <sheetName val="Désavantages"/>
      <sheetName val="Sorts, Kihos, Katas, Bâtons"/>
      <sheetName val="Outremonde"/>
      <sheetName val="Ancêtres"/>
      <sheetName val="Tatouages"/>
      <sheetName val="Compétences"/>
      <sheetName val="Objets"/>
      <sheetName val="Règles"/>
      <sheetName val="Tableaux"/>
      <sheetName val="Calculs"/>
    </sheetNames>
    <sheetDataSet>
      <sheetData sheetId="0">
        <row r="19">
          <cell r="H19">
            <v>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FF00"/>
  </sheetPr>
  <dimension ref="B1:AB75"/>
  <sheetViews>
    <sheetView showGridLines="0" showRowColHeaders="0" tabSelected="1" zoomScaleNormal="100" workbookViewId="0">
      <selection activeCell="I1" sqref="I1"/>
    </sheetView>
  </sheetViews>
  <sheetFormatPr baseColWidth="10" defaultRowHeight="14.4" x14ac:dyDescent="0.3"/>
  <cols>
    <col min="1" max="1" width="2.109375" customWidth="1"/>
    <col min="3" max="3" width="7.6640625" customWidth="1"/>
    <col min="4" max="4" width="8" customWidth="1"/>
    <col min="5" max="5" width="6" customWidth="1"/>
    <col min="6" max="6" width="6.44140625" customWidth="1"/>
    <col min="7" max="7" width="8.5546875" customWidth="1"/>
    <col min="8" max="8" width="4.6640625" customWidth="1"/>
    <col min="9" max="9" width="10.33203125" customWidth="1"/>
    <col min="10" max="10" width="16.6640625" customWidth="1"/>
    <col min="11" max="12" width="64" customWidth="1"/>
    <col min="13" max="13" width="86.6640625" customWidth="1"/>
    <col min="14" max="14" width="64" customWidth="1"/>
  </cols>
  <sheetData>
    <row r="1" spans="2:28" ht="18.75" customHeight="1" x14ac:dyDescent="0.3">
      <c r="B1" s="424" t="s">
        <v>3742</v>
      </c>
      <c r="C1" s="425"/>
      <c r="D1" s="425"/>
      <c r="E1" s="425"/>
      <c r="F1" s="425"/>
      <c r="G1" s="425"/>
      <c r="H1" s="425"/>
      <c r="I1" s="246" t="s">
        <v>3695</v>
      </c>
    </row>
    <row r="2" spans="2:28" ht="6.75" customHeight="1" x14ac:dyDescent="0.3"/>
    <row r="3" spans="2:28" ht="15.6" x14ac:dyDescent="0.35">
      <c r="B3" s="256" t="str">
        <f>IF(Syst.="","",IF(Syst.="Classic","Pour déterminer les Traits et les Coordinations, tirer 12 cartes et écarter les deux plus faibles (à l'exeption des 2 et des Jokers)",""))</f>
        <v/>
      </c>
      <c r="C3" s="225"/>
      <c r="D3" s="225"/>
      <c r="E3" s="225"/>
      <c r="F3" s="225"/>
      <c r="G3" s="225"/>
      <c r="H3" s="225"/>
      <c r="I3" s="225"/>
      <c r="J3" s="225"/>
      <c r="K3" s="225"/>
      <c r="L3" s="225"/>
      <c r="M3" s="226"/>
      <c r="N3" s="226"/>
      <c r="O3" s="226"/>
      <c r="P3" s="226"/>
      <c r="Q3" s="226"/>
      <c r="R3" s="226"/>
      <c r="S3" s="226"/>
      <c r="T3" s="226"/>
      <c r="U3" s="219"/>
      <c r="V3" s="219"/>
      <c r="W3" s="219"/>
    </row>
    <row r="4" spans="2:28" ht="15.6" x14ac:dyDescent="0.35">
      <c r="B4" s="256" t="str">
        <f>IF(Syst.="","",IF(Syst.="Reloaded","Pour déterminer les Attributs, tirer 7 cartes et écarter la plus faible (à l'exeption des 2 et des Jokers). Cinq sont affectées aux Attributs, et la dernière détermine le nombre de points de Compétences à répartir.",""))</f>
        <v>Pour déterminer les Attributs, tirer 7 cartes et écarter la plus faible (à l'exeption des 2 et des Jokers). Cinq sont affectées aux Attributs, et la dernière détermine le nombre de points de Compétences à répartir.</v>
      </c>
      <c r="C4" s="225"/>
      <c r="D4" s="225"/>
      <c r="E4" s="225"/>
      <c r="F4" s="225"/>
      <c r="G4" s="225"/>
      <c r="H4" s="225"/>
      <c r="I4" s="225"/>
      <c r="J4" s="225"/>
      <c r="K4" s="225"/>
      <c r="L4" s="225"/>
      <c r="M4" s="226"/>
      <c r="N4" s="226"/>
      <c r="O4" s="226"/>
      <c r="P4" s="226"/>
      <c r="Q4" s="226"/>
      <c r="R4" s="226"/>
      <c r="S4" s="226"/>
      <c r="T4" s="226"/>
      <c r="U4" s="219"/>
      <c r="V4" s="219"/>
      <c r="W4" s="219"/>
    </row>
    <row r="5" spans="2:28" ht="17.25" customHeight="1" x14ac:dyDescent="0.35">
      <c r="B5" s="256" t="str">
        <f>IF(Syst.="","",CONCATENATE("Un Joker vaut pour un d12 ",IF(Syst.="Classic","(et il faut tirer une carte pour déterminer la couleur qui donnera la coordination.)",""),". Il indique un passé secrèt déterminé par le Marshall tiré sur tableau des Mystères ci-contre."))</f>
        <v>Un Joker vaut pour un d12 . Il indique un passé secrèt déterminé par le Marshall tiré sur tableau des Mystères ci-contre.</v>
      </c>
      <c r="C5" s="225"/>
      <c r="D5" s="225"/>
      <c r="E5" s="225"/>
      <c r="F5" s="225"/>
      <c r="G5" s="225"/>
      <c r="H5" s="225"/>
      <c r="I5" s="225"/>
      <c r="J5" s="225"/>
      <c r="K5" s="225"/>
      <c r="L5" s="225"/>
      <c r="M5" s="226"/>
      <c r="N5" s="226"/>
      <c r="O5" s="226"/>
      <c r="P5" s="226"/>
      <c r="Q5" s="226"/>
      <c r="R5" s="226"/>
      <c r="S5" s="226"/>
      <c r="T5" s="226"/>
      <c r="U5" s="219"/>
      <c r="V5" s="219"/>
      <c r="W5" s="219"/>
    </row>
    <row r="6" spans="2:28" ht="17.25" customHeight="1" x14ac:dyDescent="0.35">
      <c r="B6" s="329" t="str">
        <f>IF(Syst.="","",CONCATENATE(IF(Syst.="Reloaded","N'utilisez NI les Feuilles Magie Classic NI Perso Classic et masquez les lignes 13 à 25 de la feuille Classic Combat!",IF(Syst.="Classic","N'utilisez PAS la Feuille Perso Reloaded mais bien Perso Classic"))))</f>
        <v>N'utilisez NI les Feuilles Magie Classic NI Perso Classic et masquez les lignes 13 à 25 de la feuille Classic Combat!</v>
      </c>
      <c r="C6" s="225"/>
      <c r="D6" s="225"/>
      <c r="E6" s="225"/>
      <c r="F6" s="225"/>
      <c r="G6" s="225"/>
      <c r="H6" s="225"/>
      <c r="I6" s="225"/>
      <c r="J6" s="225"/>
      <c r="K6" s="225"/>
      <c r="L6" s="225"/>
      <c r="M6" s="226"/>
      <c r="N6" s="226"/>
      <c r="O6" s="226"/>
      <c r="P6" s="226"/>
      <c r="Q6" s="226"/>
      <c r="R6" s="226"/>
      <c r="S6" s="226"/>
      <c r="T6" s="226"/>
      <c r="U6" s="219"/>
      <c r="V6" s="219"/>
      <c r="W6" s="219"/>
    </row>
    <row r="7" spans="2:28" ht="6" customHeight="1" x14ac:dyDescent="0.3"/>
    <row r="8" spans="2:28" ht="20.25" customHeight="1" x14ac:dyDescent="0.35">
      <c r="C8" s="227" t="s">
        <v>2987</v>
      </c>
      <c r="D8" s="227" t="s">
        <v>2988</v>
      </c>
      <c r="E8" s="227" t="s">
        <v>2990</v>
      </c>
      <c r="F8" s="227" t="s">
        <v>2989</v>
      </c>
      <c r="G8" s="227" t="s">
        <v>2997</v>
      </c>
      <c r="I8" s="438" t="s">
        <v>3018</v>
      </c>
      <c r="J8" s="439"/>
      <c r="K8" s="439"/>
      <c r="L8" s="439"/>
      <c r="M8" s="220"/>
      <c r="N8" s="220"/>
      <c r="O8" s="220"/>
      <c r="P8" s="220"/>
      <c r="Q8" s="220"/>
      <c r="R8" s="220"/>
      <c r="S8" s="220"/>
      <c r="T8" s="220"/>
      <c r="U8" s="220"/>
      <c r="V8" s="220"/>
      <c r="W8" s="220"/>
      <c r="X8" s="220"/>
      <c r="Y8" s="220"/>
      <c r="Z8" s="220"/>
      <c r="AA8" s="220"/>
      <c r="AB8" s="220"/>
    </row>
    <row r="9" spans="2:28" ht="20.25" customHeight="1" x14ac:dyDescent="0.3">
      <c r="B9" s="3" t="s">
        <v>2977</v>
      </c>
      <c r="C9" s="224"/>
      <c r="D9" s="261"/>
      <c r="E9" s="223" t="str">
        <f>IF(D9="","",VLOOKUP(D9,Tableaux!$D$3:$E$6,2,0))</f>
        <v/>
      </c>
      <c r="F9" s="222" t="str">
        <f>IF(C9="","",VLOOKUP(C9,Tableaux!$A$3:$B$16,2,0))</f>
        <v/>
      </c>
      <c r="G9" s="213" t="str">
        <f>IF(F9="","",VLOOKUP(F9,Tableaux!B:C,2,FALSE))</f>
        <v/>
      </c>
      <c r="I9" s="232" t="s">
        <v>2987</v>
      </c>
      <c r="J9" s="230" t="s">
        <v>0</v>
      </c>
      <c r="K9" s="228" t="s">
        <v>4910</v>
      </c>
      <c r="L9" s="229" t="s">
        <v>3025</v>
      </c>
    </row>
    <row r="10" spans="2:28" ht="20.25" customHeight="1" x14ac:dyDescent="0.3">
      <c r="B10" s="3" t="s">
        <v>2978</v>
      </c>
      <c r="C10" s="224"/>
      <c r="D10" s="261"/>
      <c r="E10" s="223" t="str">
        <f>IF(D10="","",VLOOKUP(D10,Tableaux!$D$3:$E$6,2,0))</f>
        <v/>
      </c>
      <c r="F10" s="222" t="str">
        <f>IF(C10="","",VLOOKUP(C10,Tableaux!$A$3:$B$16,2,0))</f>
        <v/>
      </c>
      <c r="G10" s="213" t="str">
        <f>IF(F10="","",VLOOKUP(F10,Tableaux!B:C,2,FALSE))</f>
        <v/>
      </c>
      <c r="I10" s="233">
        <v>2</v>
      </c>
      <c r="J10" s="221" t="s">
        <v>2078</v>
      </c>
      <c r="K10" s="275" t="s">
        <v>3002</v>
      </c>
      <c r="L10" s="275" t="s">
        <v>3002</v>
      </c>
    </row>
    <row r="11" spans="2:28" ht="20.25" customHeight="1" x14ac:dyDescent="0.3">
      <c r="B11" s="3" t="s">
        <v>2979</v>
      </c>
      <c r="C11" s="224"/>
      <c r="D11" s="261"/>
      <c r="E11" s="223" t="str">
        <f>IF(D11="","",VLOOKUP(D11,Tableaux!$D$3:$E$6,2,0))</f>
        <v/>
      </c>
      <c r="F11" s="222" t="str">
        <f>IF(C11="","",VLOOKUP(C11,Tableaux!$A$3:$B$16,2,0))</f>
        <v/>
      </c>
      <c r="G11" s="213" t="str">
        <f>IF(F11="","",VLOOKUP(F11,Tableaux!B:C,2,FALSE))</f>
        <v/>
      </c>
      <c r="I11" s="233">
        <v>3</v>
      </c>
      <c r="J11" s="221" t="s">
        <v>3001</v>
      </c>
      <c r="K11" s="275" t="s">
        <v>3021</v>
      </c>
      <c r="L11" s="275" t="s">
        <v>3029</v>
      </c>
    </row>
    <row r="12" spans="2:28" ht="20.25" customHeight="1" x14ac:dyDescent="0.3">
      <c r="B12" s="3" t="s">
        <v>2980</v>
      </c>
      <c r="C12" s="224"/>
      <c r="D12" s="261"/>
      <c r="E12" s="223" t="str">
        <f>IF(D12="","",VLOOKUP(D12,Tableaux!$D$3:$E$6,2,0))</f>
        <v/>
      </c>
      <c r="F12" s="222" t="str">
        <f>IF(C12="","",VLOOKUP(C12,Tableaux!$A$3:$B$16,2,0))</f>
        <v/>
      </c>
      <c r="G12" s="213" t="str">
        <f>IF(F12="","",VLOOKUP(F12,Tableaux!B:C,2,FALSE))</f>
        <v/>
      </c>
      <c r="I12" s="233">
        <v>4</v>
      </c>
      <c r="J12" s="221" t="s">
        <v>3003</v>
      </c>
      <c r="K12" s="275" t="s">
        <v>3020</v>
      </c>
      <c r="L12" s="275" t="s">
        <v>3010</v>
      </c>
    </row>
    <row r="13" spans="2:28" ht="20.25" customHeight="1" x14ac:dyDescent="0.3">
      <c r="B13" s="3" t="s">
        <v>2981</v>
      </c>
      <c r="C13" s="224"/>
      <c r="D13" s="261"/>
      <c r="E13" s="223" t="str">
        <f>IF(D13="","",VLOOKUP(D13,Tableaux!$D$3:$E$6,2,0))</f>
        <v/>
      </c>
      <c r="F13" s="222" t="str">
        <f>IF(C13="","",VLOOKUP(C13,Tableaux!$A$3:$B$16,2,0))</f>
        <v/>
      </c>
      <c r="G13" s="213" t="str">
        <f>IF(F13="","",VLOOKUP(F13,Tableaux!B:C,2,FALSE))</f>
        <v/>
      </c>
      <c r="I13" s="233">
        <v>5</v>
      </c>
      <c r="J13" s="221" t="s">
        <v>3004</v>
      </c>
      <c r="K13" s="275" t="s">
        <v>3022</v>
      </c>
      <c r="L13" s="275" t="s">
        <v>3023</v>
      </c>
    </row>
    <row r="14" spans="2:28" ht="20.25" customHeight="1" x14ac:dyDescent="0.3">
      <c r="B14" s="3" t="s">
        <v>2982</v>
      </c>
      <c r="C14" s="224"/>
      <c r="D14" s="261"/>
      <c r="E14" s="223" t="str">
        <f>IF(D14="","",VLOOKUP(D14,Tableaux!$D$3:$E$6,2,0))</f>
        <v/>
      </c>
      <c r="F14" s="222" t="str">
        <f>IF(C14="","",VLOOKUP(C14,Tableaux!$A$3:$B$16,2,0))</f>
        <v/>
      </c>
      <c r="G14" s="213" t="str">
        <f>IF(F14="","",VLOOKUP(F14,Tableaux!B:C,2,FALSE))</f>
        <v/>
      </c>
      <c r="I14" s="233">
        <v>6</v>
      </c>
      <c r="J14" s="221" t="s">
        <v>3005</v>
      </c>
      <c r="K14" s="275" t="str">
        <f>IF(Syst.="Classic","Le héros peut faire un test de Perception Rude (7) pour être averti d'un danger imminent","Le héros peut faire et réussir un test de Perception pour être averti d'un danger imminent")</f>
        <v>Le héros peut faire et réussir un test de Perception pour être averti d'un danger imminent</v>
      </c>
      <c r="L14" s="275" t="str">
        <f>IF(Syst.="Classic","Le héros peut faire un test de Perception Rude (7) pour être averti d'un danger imminent","Le héros peut faire et réussir un test de Perception pour être averti d'un danger imminent")</f>
        <v>Le héros peut faire et réussir un test de Perception pour être averti d'un danger imminent</v>
      </c>
    </row>
    <row r="15" spans="2:28" ht="20.25" customHeight="1" x14ac:dyDescent="0.3">
      <c r="B15" s="3" t="s">
        <v>2983</v>
      </c>
      <c r="C15" s="224"/>
      <c r="D15" s="261"/>
      <c r="E15" s="223" t="str">
        <f>IF(D15="","",VLOOKUP(D15,Tableaux!$D$3:$E$6,2,0))</f>
        <v/>
      </c>
      <c r="F15" s="222" t="str">
        <f>IF(C15="","",VLOOKUP(C15,Tableaux!$A$3:$B$16,2,0))</f>
        <v/>
      </c>
      <c r="G15" s="213" t="str">
        <f>IF(F15="","",VLOOKUP(F15,Tableaux!B:C,2,FALSE))</f>
        <v/>
      </c>
      <c r="I15" s="233">
        <v>7</v>
      </c>
      <c r="J15" s="221" t="s">
        <v>3006</v>
      </c>
      <c r="K15" s="275" t="s">
        <v>3012</v>
      </c>
      <c r="L15" s="275" t="s">
        <v>3011</v>
      </c>
    </row>
    <row r="16" spans="2:28" ht="20.25" customHeight="1" x14ac:dyDescent="0.3">
      <c r="B16" s="3" t="s">
        <v>2984</v>
      </c>
      <c r="C16" s="224"/>
      <c r="D16" s="261"/>
      <c r="E16" s="223" t="str">
        <f>IF(D16="","",VLOOKUP(D16,Tableaux!$D$3:$E$6,2,0))</f>
        <v/>
      </c>
      <c r="F16" s="222" t="str">
        <f>IF(C16="","",VLOOKUP(C16,Tableaux!$A$3:$B$16,2,0))</f>
        <v/>
      </c>
      <c r="G16" s="213" t="str">
        <f>IF(F16="","",VLOOKUP(F16,Tableaux!B:C,2,FALSE))</f>
        <v/>
      </c>
      <c r="I16" s="233">
        <v>8</v>
      </c>
      <c r="J16" s="221" t="s">
        <v>3007</v>
      </c>
      <c r="K16" s="275" t="str">
        <f>IF(Syst.="Classic","Obtient un pouvoir de Détérré de niveau 1 qui ne peut pas être augmenté sauf si le personnage devient Détérré.","Le Héros obtient un pouvoir de Détérré")</f>
        <v>Le Héros obtient un pouvoir de Détérré</v>
      </c>
      <c r="L16" s="275" t="str">
        <f>IF(Syst.="Classic","Obtient un pouvoir de Détérré de niveau 1 qui ne peut pas être augmenté sauf si le personnage devient Détérré.","Le Héros obtient un pouvoir de Détérré")</f>
        <v>Le Héros obtient un pouvoir de Détérré</v>
      </c>
    </row>
    <row r="17" spans="2:15" ht="20.25" customHeight="1" x14ac:dyDescent="0.3">
      <c r="B17" s="3" t="s">
        <v>2985</v>
      </c>
      <c r="C17" s="224"/>
      <c r="D17" s="261"/>
      <c r="E17" s="223" t="str">
        <f>IF(D17="","",VLOOKUP(D17,Tableaux!$D$3:$E$6,2,0))</f>
        <v/>
      </c>
      <c r="F17" s="222" t="str">
        <f>IF(C17="","",VLOOKUP(C17,Tableaux!$A$3:$B$16,2,0))</f>
        <v/>
      </c>
      <c r="G17" s="213" t="str">
        <f>IF(F17="","",VLOOKUP(F17,Tableaux!B:C,2,FALSE))</f>
        <v/>
      </c>
      <c r="I17" s="233">
        <v>9</v>
      </c>
      <c r="J17" s="221" t="s">
        <v>3008</v>
      </c>
      <c r="K17" s="275" t="s">
        <v>3026</v>
      </c>
      <c r="L17" s="275" t="s">
        <v>3027</v>
      </c>
    </row>
    <row r="18" spans="2:15" ht="20.25" customHeight="1" x14ac:dyDescent="0.3">
      <c r="B18" s="3" t="s">
        <v>2986</v>
      </c>
      <c r="C18" s="224"/>
      <c r="D18" s="261"/>
      <c r="E18" s="223" t="str">
        <f>IF(D18="","",VLOOKUP(D18,Tableaux!$D$3:$E$6,2,0))</f>
        <v/>
      </c>
      <c r="F18" s="222" t="str">
        <f>IF(C18="","",VLOOKUP(C18,Tableaux!$A$3:$B$16,2,0))</f>
        <v/>
      </c>
      <c r="G18" s="213" t="str">
        <f>IF(F18="","",VLOOKUP(F18,Tableaux!B:C,2,FALSE))</f>
        <v/>
      </c>
      <c r="I18" s="233">
        <v>10</v>
      </c>
      <c r="J18" s="221" t="s">
        <v>2077</v>
      </c>
      <c r="K18" s="275" t="s">
        <v>3028</v>
      </c>
      <c r="L18" s="275" t="s">
        <v>3013</v>
      </c>
    </row>
    <row r="19" spans="2:15" ht="20.25" customHeight="1" x14ac:dyDescent="0.3">
      <c r="I19" s="233" t="s">
        <v>2998</v>
      </c>
      <c r="J19" s="221" t="s">
        <v>3009</v>
      </c>
      <c r="K19" s="275" t="s">
        <v>3014</v>
      </c>
      <c r="L19" s="275" t="s">
        <v>4780</v>
      </c>
    </row>
    <row r="20" spans="2:15" ht="25.5" customHeight="1" x14ac:dyDescent="0.3">
      <c r="B20" s="442" t="s">
        <v>3739</v>
      </c>
      <c r="C20" s="443"/>
      <c r="D20" s="443"/>
      <c r="E20" s="443"/>
      <c r="F20" s="443"/>
      <c r="I20" s="233" t="s">
        <v>2999</v>
      </c>
      <c r="J20" s="231" t="s">
        <v>3019</v>
      </c>
      <c r="K20" s="275" t="str">
        <f>IF(Syst.="Classic","Les animaux détestent le personnage et le fuient. Les chiens le grogent, les chevaux le désarçonnent dès qu'il rate un jet d'Equitation. -2 en Dressage, Attelage et Equitation.","Les animaux détestent le personnage et le fuient. Les chiens le grogent, les chevaux le désarçonnent dès qu'il rate un jet d'Equitation. -2 en Equitation et pour tous les tests visant au dressage")</f>
        <v>Les animaux détestent le personnage et le fuient. Les chiens le grogent, les chevaux le désarçonnent dès qu'il rate un jet d'Equitation. -2 en Equitation et pour tous les tests visant au dressage</v>
      </c>
      <c r="L20" s="275" t="str">
        <f>IF(Syst.="Classic","Les animaux adorent le héro et ne l'attaquent jamais en 1er. +2 en Dressage, Attelage ou Equitation.","Les animaux adorent le héros et ne l'attaquent jamais en 1er. +2 en Dressage, Attelage ou Equitation. +2 en Equitation et pour tous les tests visant au dressage")</f>
        <v>Les animaux adorent le héros et ne l'attaquent jamais en 1er. +2 en Dressage, Attelage ou Equitation. +2 en Equitation et pour tous les tests visant au dressage</v>
      </c>
    </row>
    <row r="21" spans="2:15" ht="20.25" customHeight="1" x14ac:dyDescent="0.3">
      <c r="B21" s="258" t="s">
        <v>3735</v>
      </c>
      <c r="C21" s="260" t="s">
        <v>3740</v>
      </c>
      <c r="D21" s="260" t="s">
        <v>3741</v>
      </c>
      <c r="E21" s="440" t="s">
        <v>2997</v>
      </c>
      <c r="F21" s="441"/>
      <c r="I21" s="233" t="s">
        <v>3000</v>
      </c>
      <c r="J21" s="221" t="s">
        <v>3015</v>
      </c>
      <c r="K21" s="275" t="s">
        <v>3791</v>
      </c>
      <c r="L21" s="275" t="s">
        <v>3792</v>
      </c>
    </row>
    <row r="22" spans="2:15" ht="20.25" customHeight="1" x14ac:dyDescent="0.3">
      <c r="B22" s="3" t="s">
        <v>2996</v>
      </c>
      <c r="C22" s="259" t="s">
        <v>2975</v>
      </c>
      <c r="D22" s="259">
        <v>20</v>
      </c>
      <c r="E22" s="426" t="str">
        <f>VLOOKUP(C22,Tableaux!B:C,2,FALSE)</f>
        <v>Incroyable</v>
      </c>
      <c r="F22" s="426"/>
      <c r="I22" s="233" t="s">
        <v>953</v>
      </c>
      <c r="J22" s="221" t="s">
        <v>3016</v>
      </c>
      <c r="K22" s="275" t="s">
        <v>3793</v>
      </c>
      <c r="L22" s="275" t="s">
        <v>3794</v>
      </c>
      <c r="M22" s="422"/>
      <c r="N22" s="234"/>
      <c r="O22" s="234"/>
    </row>
    <row r="23" spans="2:15" ht="20.25" customHeight="1" x14ac:dyDescent="0.3">
      <c r="B23" s="3" t="s">
        <v>3736</v>
      </c>
      <c r="C23" s="259" t="s">
        <v>2974</v>
      </c>
      <c r="D23" s="259">
        <v>18</v>
      </c>
      <c r="E23" s="426" t="str">
        <f>VLOOKUP(C23,Tableaux!B:C,2,FALSE)</f>
        <v>Etonnant</v>
      </c>
      <c r="F23" s="426"/>
      <c r="I23" s="233" t="s">
        <v>2996</v>
      </c>
      <c r="J23" s="221" t="s">
        <v>307</v>
      </c>
      <c r="K23" s="275" t="s">
        <v>3024</v>
      </c>
      <c r="L23" s="275" t="s">
        <v>3017</v>
      </c>
      <c r="M23" s="423"/>
    </row>
    <row r="24" spans="2:15" ht="19.2" customHeight="1" x14ac:dyDescent="0.3">
      <c r="B24" s="3" t="s">
        <v>3737</v>
      </c>
      <c r="C24" s="259" t="s">
        <v>2973</v>
      </c>
      <c r="D24" s="259">
        <v>16</v>
      </c>
      <c r="E24" s="426" t="str">
        <f>VLOOKUP(C24,Tableaux!B:C,2,FALSE)</f>
        <v>Bon</v>
      </c>
      <c r="F24" s="426"/>
      <c r="J24" s="268"/>
      <c r="K24" s="462" t="s">
        <v>4914</v>
      </c>
      <c r="L24" s="462"/>
    </row>
    <row r="25" spans="2:15" ht="15.6" x14ac:dyDescent="0.35">
      <c r="B25" s="257" t="s">
        <v>3738</v>
      </c>
      <c r="C25" s="259" t="s">
        <v>2972</v>
      </c>
      <c r="D25" s="259">
        <v>15</v>
      </c>
      <c r="E25" s="426" t="str">
        <f>VLOOKUP(C25,Tableaux!B:C,2,FALSE)</f>
        <v>Moyen</v>
      </c>
      <c r="F25" s="426"/>
      <c r="N25" s="220"/>
    </row>
    <row r="26" spans="2:15" ht="15.6" x14ac:dyDescent="0.35">
      <c r="B26" s="132"/>
      <c r="C26" s="1"/>
      <c r="D26" s="1"/>
      <c r="E26" s="1"/>
      <c r="F26" s="1"/>
      <c r="J26" s="220"/>
      <c r="K26" s="220"/>
      <c r="L26" s="220"/>
      <c r="M26" s="220"/>
      <c r="N26" s="395"/>
    </row>
    <row r="27" spans="2:15" ht="15.6" x14ac:dyDescent="0.35">
      <c r="B27" s="433" t="s">
        <v>293</v>
      </c>
      <c r="C27" s="434"/>
      <c r="D27" s="434"/>
      <c r="E27" s="434"/>
      <c r="F27" s="434"/>
      <c r="G27" s="1"/>
      <c r="H27" s="1"/>
      <c r="I27" s="1"/>
      <c r="J27" s="1"/>
    </row>
    <row r="28" spans="2:15" ht="14.25" customHeight="1" x14ac:dyDescent="0.3">
      <c r="B28" s="368" t="s">
        <v>2987</v>
      </c>
      <c r="C28" s="427" t="s">
        <v>4297</v>
      </c>
      <c r="D28" s="428"/>
      <c r="E28" s="428"/>
      <c r="F28" s="428"/>
      <c r="G28" s="428"/>
      <c r="H28" s="428"/>
      <c r="I28" s="428"/>
      <c r="J28" s="429"/>
      <c r="K28" s="369" t="s">
        <v>4298</v>
      </c>
      <c r="L28" s="385" t="s">
        <v>4299</v>
      </c>
      <c r="M28" s="385" t="s">
        <v>4300</v>
      </c>
    </row>
    <row r="29" spans="2:15" ht="14.25" customHeight="1" x14ac:dyDescent="0.3">
      <c r="B29" s="363">
        <v>2</v>
      </c>
      <c r="C29" s="430" t="s">
        <v>4301</v>
      </c>
      <c r="D29" s="431"/>
      <c r="E29" s="431"/>
      <c r="F29" s="431"/>
      <c r="G29" s="431"/>
      <c r="H29" s="431"/>
      <c r="I29" s="431"/>
      <c r="J29" s="432"/>
      <c r="K29" s="380" t="s">
        <v>4302</v>
      </c>
      <c r="L29" s="366" t="s">
        <v>4303</v>
      </c>
      <c r="M29" s="366" t="s">
        <v>4304</v>
      </c>
      <c r="N29" s="394"/>
    </row>
    <row r="30" spans="2:15" ht="54.75" customHeight="1" x14ac:dyDescent="0.3">
      <c r="B30" s="364"/>
      <c r="C30" s="444" t="s">
        <v>4901</v>
      </c>
      <c r="D30" s="445"/>
      <c r="E30" s="445"/>
      <c r="F30" s="445"/>
      <c r="G30" s="445"/>
      <c r="H30" s="445"/>
      <c r="I30" s="445"/>
      <c r="J30" s="446"/>
      <c r="K30" s="381" t="s">
        <v>4350</v>
      </c>
      <c r="L30" s="377" t="s">
        <v>4894</v>
      </c>
      <c r="M30" s="377" t="s">
        <v>4445</v>
      </c>
    </row>
    <row r="31" spans="2:15" ht="14.25" customHeight="1" x14ac:dyDescent="0.3">
      <c r="B31" s="363">
        <v>3</v>
      </c>
      <c r="C31" s="447" t="s">
        <v>4785</v>
      </c>
      <c r="D31" s="448"/>
      <c r="E31" s="448"/>
      <c r="F31" s="448"/>
      <c r="G31" s="448"/>
      <c r="H31" s="448"/>
      <c r="I31" s="448"/>
      <c r="J31" s="449"/>
      <c r="K31" s="382" t="s">
        <v>4305</v>
      </c>
      <c r="L31" s="370" t="s">
        <v>4306</v>
      </c>
      <c r="M31" s="370" t="s">
        <v>4893</v>
      </c>
    </row>
    <row r="32" spans="2:15" ht="64.5" customHeight="1" x14ac:dyDescent="0.3">
      <c r="B32" s="364"/>
      <c r="C32" s="450" t="s">
        <v>4880</v>
      </c>
      <c r="D32" s="451"/>
      <c r="E32" s="451"/>
      <c r="F32" s="451"/>
      <c r="G32" s="451"/>
      <c r="H32" s="451"/>
      <c r="I32" s="451"/>
      <c r="J32" s="452"/>
      <c r="K32" s="383" t="s">
        <v>4334</v>
      </c>
      <c r="L32" s="389" t="s">
        <v>4887</v>
      </c>
      <c r="M32" s="389" t="s">
        <v>5245</v>
      </c>
    </row>
    <row r="33" spans="2:13" ht="14.25" customHeight="1" x14ac:dyDescent="0.3">
      <c r="B33" s="363">
        <v>4</v>
      </c>
      <c r="C33" s="453" t="s">
        <v>4307</v>
      </c>
      <c r="D33" s="454"/>
      <c r="E33" s="454"/>
      <c r="F33" s="454"/>
      <c r="G33" s="454"/>
      <c r="H33" s="454"/>
      <c r="I33" s="454"/>
      <c r="J33" s="455"/>
      <c r="K33" s="392" t="s">
        <v>4308</v>
      </c>
      <c r="L33" s="378" t="s">
        <v>4309</v>
      </c>
      <c r="M33" s="378" t="s">
        <v>4310</v>
      </c>
    </row>
    <row r="34" spans="2:13" ht="84" customHeight="1" x14ac:dyDescent="0.3">
      <c r="B34" s="364"/>
      <c r="C34" s="456" t="s">
        <v>4786</v>
      </c>
      <c r="D34" s="457"/>
      <c r="E34" s="457"/>
      <c r="F34" s="457"/>
      <c r="G34" s="457"/>
      <c r="H34" s="457"/>
      <c r="I34" s="457"/>
      <c r="J34" s="458"/>
      <c r="K34" s="400" t="s">
        <v>5020</v>
      </c>
      <c r="L34" s="377" t="s">
        <v>5246</v>
      </c>
      <c r="M34" s="377" t="s">
        <v>5247</v>
      </c>
    </row>
    <row r="35" spans="2:13" ht="14.25" customHeight="1" x14ac:dyDescent="0.3">
      <c r="B35" s="365">
        <v>5</v>
      </c>
      <c r="C35" s="447" t="s">
        <v>3563</v>
      </c>
      <c r="D35" s="448"/>
      <c r="E35" s="448"/>
      <c r="F35" s="448"/>
      <c r="G35" s="448"/>
      <c r="H35" s="448"/>
      <c r="I35" s="448"/>
      <c r="J35" s="449"/>
      <c r="K35" s="372" t="s">
        <v>4311</v>
      </c>
      <c r="L35" s="370" t="s">
        <v>4312</v>
      </c>
      <c r="M35" s="370" t="s">
        <v>4882</v>
      </c>
    </row>
    <row r="36" spans="2:13" ht="67.5" customHeight="1" x14ac:dyDescent="0.3">
      <c r="B36" s="365"/>
      <c r="C36" s="459" t="s">
        <v>4335</v>
      </c>
      <c r="D36" s="460"/>
      <c r="E36" s="460"/>
      <c r="F36" s="460"/>
      <c r="G36" s="460"/>
      <c r="H36" s="460"/>
      <c r="I36" s="460"/>
      <c r="J36" s="461"/>
      <c r="K36" s="373" t="s">
        <v>4500</v>
      </c>
      <c r="L36" s="389" t="s">
        <v>4502</v>
      </c>
      <c r="M36" s="371" t="s">
        <v>4336</v>
      </c>
    </row>
    <row r="37" spans="2:13" ht="14.25" customHeight="1" x14ac:dyDescent="0.3">
      <c r="B37" s="363">
        <v>6</v>
      </c>
      <c r="C37" s="435" t="s">
        <v>4313</v>
      </c>
      <c r="D37" s="436"/>
      <c r="E37" s="436"/>
      <c r="F37" s="436"/>
      <c r="G37" s="436"/>
      <c r="H37" s="436"/>
      <c r="I37" s="436"/>
      <c r="J37" s="437"/>
      <c r="K37" s="380" t="s">
        <v>4518</v>
      </c>
      <c r="L37" s="366" t="s">
        <v>4314</v>
      </c>
      <c r="M37" s="366" t="s">
        <v>244</v>
      </c>
    </row>
    <row r="38" spans="2:13" ht="53.25" customHeight="1" x14ac:dyDescent="0.3">
      <c r="B38" s="364"/>
      <c r="C38" s="466" t="s">
        <v>4508</v>
      </c>
      <c r="D38" s="467"/>
      <c r="E38" s="467"/>
      <c r="F38" s="467"/>
      <c r="G38" s="467"/>
      <c r="H38" s="467"/>
      <c r="I38" s="467"/>
      <c r="J38" s="468"/>
      <c r="K38" s="384" t="s">
        <v>4517</v>
      </c>
      <c r="L38" s="367" t="s">
        <v>4337</v>
      </c>
      <c r="M38" s="367" t="s">
        <v>4515</v>
      </c>
    </row>
    <row r="39" spans="2:13" ht="14.25" customHeight="1" x14ac:dyDescent="0.3">
      <c r="B39" s="365">
        <v>7</v>
      </c>
      <c r="C39" s="447" t="s">
        <v>3564</v>
      </c>
      <c r="D39" s="448"/>
      <c r="E39" s="448"/>
      <c r="F39" s="448"/>
      <c r="G39" s="448"/>
      <c r="H39" s="448"/>
      <c r="I39" s="448"/>
      <c r="J39" s="449"/>
      <c r="K39" s="372" t="s">
        <v>4315</v>
      </c>
      <c r="L39" s="388" t="s">
        <v>4316</v>
      </c>
      <c r="M39" s="388" t="s">
        <v>4317</v>
      </c>
    </row>
    <row r="40" spans="2:13" ht="36" customHeight="1" x14ac:dyDescent="0.3">
      <c r="B40" s="365"/>
      <c r="C40" s="469" t="s">
        <v>4338</v>
      </c>
      <c r="D40" s="470"/>
      <c r="E40" s="470"/>
      <c r="F40" s="470"/>
      <c r="G40" s="470"/>
      <c r="H40" s="470"/>
      <c r="I40" s="470"/>
      <c r="J40" s="471"/>
      <c r="K40" s="391" t="s">
        <v>4514</v>
      </c>
      <c r="L40" s="389" t="s">
        <v>4339</v>
      </c>
      <c r="M40" s="389" t="s">
        <v>4340</v>
      </c>
    </row>
    <row r="41" spans="2:13" ht="14.25" customHeight="1" x14ac:dyDescent="0.3">
      <c r="B41" s="363">
        <v>8</v>
      </c>
      <c r="C41" s="430" t="s">
        <v>3565</v>
      </c>
      <c r="D41" s="431"/>
      <c r="E41" s="431"/>
      <c r="F41" s="431"/>
      <c r="G41" s="431"/>
      <c r="H41" s="431"/>
      <c r="I41" s="431"/>
      <c r="J41" s="432"/>
      <c r="K41" s="380" t="s">
        <v>4318</v>
      </c>
      <c r="L41" s="378" t="s">
        <v>4319</v>
      </c>
      <c r="M41" s="378" t="s">
        <v>4320</v>
      </c>
    </row>
    <row r="42" spans="2:13" ht="63.75" customHeight="1" x14ac:dyDescent="0.3">
      <c r="B42" s="364"/>
      <c r="C42" s="463" t="s">
        <v>4341</v>
      </c>
      <c r="D42" s="464"/>
      <c r="E42" s="464"/>
      <c r="F42" s="464"/>
      <c r="G42" s="464"/>
      <c r="H42" s="464"/>
      <c r="I42" s="464"/>
      <c r="J42" s="465"/>
      <c r="K42" s="384" t="s">
        <v>4342</v>
      </c>
      <c r="L42" s="377" t="s">
        <v>4913</v>
      </c>
      <c r="M42" s="377" t="s">
        <v>4343</v>
      </c>
    </row>
    <row r="43" spans="2:13" ht="14.25" customHeight="1" x14ac:dyDescent="0.3">
      <c r="B43" s="365">
        <v>9</v>
      </c>
      <c r="C43" s="447" t="s">
        <v>3566</v>
      </c>
      <c r="D43" s="448"/>
      <c r="E43" s="448"/>
      <c r="F43" s="448"/>
      <c r="G43" s="448"/>
      <c r="H43" s="448"/>
      <c r="I43" s="448"/>
      <c r="J43" s="449"/>
      <c r="K43" s="372" t="s">
        <v>4784</v>
      </c>
      <c r="L43" s="370" t="s">
        <v>4895</v>
      </c>
      <c r="M43" s="388" t="s">
        <v>4321</v>
      </c>
    </row>
    <row r="44" spans="2:13" ht="43.5" customHeight="1" x14ac:dyDescent="0.3">
      <c r="B44" s="365"/>
      <c r="C44" s="459" t="s">
        <v>4783</v>
      </c>
      <c r="D44" s="460"/>
      <c r="E44" s="460"/>
      <c r="F44" s="460"/>
      <c r="G44" s="460"/>
      <c r="H44" s="460"/>
      <c r="I44" s="460"/>
      <c r="J44" s="461"/>
      <c r="K44" s="373" t="s">
        <v>5248</v>
      </c>
      <c r="L44" s="371" t="s">
        <v>4896</v>
      </c>
      <c r="M44" s="402" t="s">
        <v>4897</v>
      </c>
    </row>
    <row r="45" spans="2:13" ht="14.25" customHeight="1" x14ac:dyDescent="0.3">
      <c r="B45" s="363">
        <v>10</v>
      </c>
      <c r="C45" s="435" t="s">
        <v>4322</v>
      </c>
      <c r="D45" s="436"/>
      <c r="E45" s="436"/>
      <c r="F45" s="436"/>
      <c r="G45" s="436"/>
      <c r="H45" s="436"/>
      <c r="I45" s="436"/>
      <c r="J45" s="437"/>
      <c r="K45" s="380" t="s">
        <v>4323</v>
      </c>
      <c r="L45" s="378" t="s">
        <v>4324</v>
      </c>
      <c r="M45" s="378" t="s">
        <v>4325</v>
      </c>
    </row>
    <row r="46" spans="2:13" ht="61.5" customHeight="1" x14ac:dyDescent="0.3">
      <c r="B46" s="364"/>
      <c r="C46" s="466" t="s">
        <v>4501</v>
      </c>
      <c r="D46" s="467"/>
      <c r="E46" s="467"/>
      <c r="F46" s="467"/>
      <c r="G46" s="467"/>
      <c r="H46" s="467"/>
      <c r="I46" s="467"/>
      <c r="J46" s="468"/>
      <c r="K46" s="384" t="s">
        <v>4344</v>
      </c>
      <c r="L46" s="387" t="s">
        <v>4345</v>
      </c>
      <c r="M46" s="377" t="s">
        <v>4892</v>
      </c>
    </row>
    <row r="47" spans="2:13" ht="14.25" customHeight="1" x14ac:dyDescent="0.3">
      <c r="B47" s="365" t="s">
        <v>2998</v>
      </c>
      <c r="C47" s="447" t="s">
        <v>3030</v>
      </c>
      <c r="D47" s="448"/>
      <c r="E47" s="448"/>
      <c r="F47" s="448"/>
      <c r="G47" s="448"/>
      <c r="H47" s="448"/>
      <c r="I47" s="448"/>
      <c r="J47" s="449"/>
      <c r="K47" s="372" t="s">
        <v>4881</v>
      </c>
      <c r="L47" s="388" t="s">
        <v>4519</v>
      </c>
      <c r="M47" s="388" t="s">
        <v>4885</v>
      </c>
    </row>
    <row r="48" spans="2:13" ht="74.25" customHeight="1" x14ac:dyDescent="0.3">
      <c r="B48" s="365"/>
      <c r="C48" s="459" t="s">
        <v>4346</v>
      </c>
      <c r="D48" s="460"/>
      <c r="E48" s="460"/>
      <c r="F48" s="460"/>
      <c r="G48" s="460"/>
      <c r="H48" s="460"/>
      <c r="I48" s="460"/>
      <c r="J48" s="461"/>
      <c r="K48" s="401" t="s">
        <v>4883</v>
      </c>
      <c r="L48" s="389" t="s">
        <v>4520</v>
      </c>
      <c r="M48" s="389" t="s">
        <v>4884</v>
      </c>
    </row>
    <row r="49" spans="2:14" ht="14.25" customHeight="1" x14ac:dyDescent="0.3">
      <c r="B49" s="363" t="s">
        <v>2999</v>
      </c>
      <c r="C49" s="435" t="s">
        <v>4327</v>
      </c>
      <c r="D49" s="436"/>
      <c r="E49" s="436"/>
      <c r="F49" s="436"/>
      <c r="G49" s="436"/>
      <c r="H49" s="436"/>
      <c r="I49" s="436"/>
      <c r="J49" s="437"/>
      <c r="K49" s="380" t="s">
        <v>4328</v>
      </c>
      <c r="L49" s="378" t="s">
        <v>4329</v>
      </c>
      <c r="M49" s="378" t="s">
        <v>4513</v>
      </c>
    </row>
    <row r="50" spans="2:14" ht="86.25" customHeight="1" x14ac:dyDescent="0.3">
      <c r="B50" s="364"/>
      <c r="C50" s="466" t="s">
        <v>4886</v>
      </c>
      <c r="D50" s="467"/>
      <c r="E50" s="467"/>
      <c r="F50" s="467"/>
      <c r="G50" s="467"/>
      <c r="H50" s="467"/>
      <c r="I50" s="467"/>
      <c r="J50" s="468"/>
      <c r="K50" s="384" t="s">
        <v>4347</v>
      </c>
      <c r="L50" s="377" t="s">
        <v>4446</v>
      </c>
      <c r="M50" s="377" t="s">
        <v>4900</v>
      </c>
    </row>
    <row r="51" spans="2:14" ht="14.25" customHeight="1" x14ac:dyDescent="0.3">
      <c r="B51" s="365" t="s">
        <v>3000</v>
      </c>
      <c r="C51" s="447" t="s">
        <v>4512</v>
      </c>
      <c r="D51" s="448"/>
      <c r="E51" s="448"/>
      <c r="F51" s="448"/>
      <c r="G51" s="448"/>
      <c r="H51" s="448"/>
      <c r="I51" s="448"/>
      <c r="J51" s="449"/>
      <c r="K51" s="372" t="s">
        <v>4908</v>
      </c>
      <c r="L51" s="388" t="s">
        <v>4506</v>
      </c>
      <c r="M51" s="388" t="s">
        <v>4330</v>
      </c>
    </row>
    <row r="52" spans="2:14" ht="63.75" customHeight="1" x14ac:dyDescent="0.3">
      <c r="B52" s="365"/>
      <c r="C52" s="459" t="s">
        <v>4521</v>
      </c>
      <c r="D52" s="460"/>
      <c r="E52" s="460"/>
      <c r="F52" s="460"/>
      <c r="G52" s="460"/>
      <c r="H52" s="460"/>
      <c r="I52" s="460"/>
      <c r="J52" s="461"/>
      <c r="K52" s="373" t="s">
        <v>4909</v>
      </c>
      <c r="L52" s="389" t="s">
        <v>4507</v>
      </c>
      <c r="M52" s="390" t="s">
        <v>4907</v>
      </c>
    </row>
    <row r="53" spans="2:14" ht="14.25" customHeight="1" x14ac:dyDescent="0.3">
      <c r="B53" s="363" t="s">
        <v>953</v>
      </c>
      <c r="C53" s="435" t="s">
        <v>219</v>
      </c>
      <c r="D53" s="436"/>
      <c r="E53" s="436"/>
      <c r="F53" s="436"/>
      <c r="G53" s="436"/>
      <c r="H53" s="436"/>
      <c r="I53" s="436"/>
      <c r="J53" s="437"/>
      <c r="K53" s="380" t="s">
        <v>1407</v>
      </c>
      <c r="L53" s="378" t="s">
        <v>4331</v>
      </c>
      <c r="M53" s="378" t="s">
        <v>4332</v>
      </c>
    </row>
    <row r="54" spans="2:14" ht="63" customHeight="1" x14ac:dyDescent="0.3">
      <c r="B54" s="364"/>
      <c r="C54" s="466" t="s">
        <v>4449</v>
      </c>
      <c r="D54" s="467"/>
      <c r="E54" s="467"/>
      <c r="F54" s="467"/>
      <c r="G54" s="467"/>
      <c r="H54" s="467"/>
      <c r="I54" s="467"/>
      <c r="J54" s="468"/>
      <c r="K54" s="367" t="s">
        <v>4448</v>
      </c>
      <c r="L54" s="377" t="s">
        <v>4511</v>
      </c>
      <c r="M54" s="377" t="s">
        <v>4509</v>
      </c>
    </row>
    <row r="55" spans="2:14" ht="14.25" customHeight="1" x14ac:dyDescent="0.3">
      <c r="B55" s="365" t="s">
        <v>2996</v>
      </c>
      <c r="C55" s="447" t="s">
        <v>4902</v>
      </c>
      <c r="D55" s="448"/>
      <c r="E55" s="448"/>
      <c r="F55" s="448"/>
      <c r="G55" s="448"/>
      <c r="H55" s="448"/>
      <c r="I55" s="448"/>
      <c r="J55" s="449"/>
      <c r="K55" s="370" t="s">
        <v>1160</v>
      </c>
      <c r="M55" s="374"/>
      <c r="N55" s="376"/>
    </row>
    <row r="56" spans="2:14" ht="63.75" customHeight="1" x14ac:dyDescent="0.3">
      <c r="B56" s="364"/>
      <c r="C56" s="459" t="s">
        <v>4904</v>
      </c>
      <c r="D56" s="460"/>
      <c r="E56" s="460"/>
      <c r="F56" s="460"/>
      <c r="G56" s="460"/>
      <c r="H56" s="460"/>
      <c r="I56" s="460"/>
      <c r="J56" s="461"/>
      <c r="K56" s="386" t="s">
        <v>4333</v>
      </c>
      <c r="M56" s="379"/>
      <c r="N56" s="375"/>
    </row>
    <row r="57" spans="2:14" x14ac:dyDescent="0.3">
      <c r="D57" s="69"/>
      <c r="E57" s="69"/>
      <c r="F57" s="69"/>
      <c r="G57" s="69"/>
      <c r="H57" s="69"/>
      <c r="I57" s="69"/>
    </row>
    <row r="58" spans="2:14" x14ac:dyDescent="0.3">
      <c r="B58" s="393"/>
      <c r="C58" s="238"/>
      <c r="D58" s="238"/>
      <c r="E58" s="238"/>
      <c r="F58" s="238"/>
      <c r="G58" s="238"/>
      <c r="H58" s="238"/>
      <c r="I58" s="238"/>
    </row>
    <row r="59" spans="2:14" ht="15.6" x14ac:dyDescent="0.35">
      <c r="B59" s="433" t="s">
        <v>5021</v>
      </c>
      <c r="C59" s="434"/>
      <c r="D59" s="434"/>
      <c r="E59" s="434"/>
      <c r="F59" s="434"/>
      <c r="G59" s="1"/>
      <c r="H59" s="1"/>
      <c r="I59" s="1"/>
      <c r="J59" s="1"/>
    </row>
    <row r="60" spans="2:14" x14ac:dyDescent="0.3">
      <c r="B60" s="368" t="s">
        <v>2987</v>
      </c>
      <c r="C60" s="427" t="s">
        <v>4297</v>
      </c>
      <c r="D60" s="428"/>
      <c r="E60" s="428"/>
      <c r="F60" s="428"/>
      <c r="G60" s="428"/>
      <c r="H60" s="428"/>
      <c r="I60" s="428"/>
      <c r="J60" s="429"/>
      <c r="K60" s="369" t="s">
        <v>4298</v>
      </c>
      <c r="L60" s="385" t="s">
        <v>4299</v>
      </c>
      <c r="M60" s="385" t="s">
        <v>4300</v>
      </c>
    </row>
    <row r="61" spans="2:14" ht="17.399999999999999" customHeight="1" x14ac:dyDescent="0.3">
      <c r="B61" s="405">
        <v>2</v>
      </c>
      <c r="C61" s="477" t="s">
        <v>1623</v>
      </c>
      <c r="D61" s="478"/>
      <c r="E61" s="478"/>
      <c r="F61" s="478"/>
      <c r="G61" s="478"/>
      <c r="H61" s="478"/>
      <c r="I61" s="478"/>
      <c r="J61" s="479"/>
      <c r="K61" s="407" t="s">
        <v>5039</v>
      </c>
      <c r="L61" s="406" t="s">
        <v>1646</v>
      </c>
      <c r="M61" s="246" t="s">
        <v>5024</v>
      </c>
    </row>
    <row r="62" spans="2:14" ht="17.399999999999999" customHeight="1" x14ac:dyDescent="0.3">
      <c r="B62" s="405">
        <v>3</v>
      </c>
      <c r="C62" s="475" t="s">
        <v>1629</v>
      </c>
      <c r="D62" s="475"/>
      <c r="E62" s="475"/>
      <c r="F62" s="475"/>
      <c r="G62" s="475"/>
      <c r="H62" s="475"/>
      <c r="I62" s="475"/>
      <c r="J62" s="475"/>
      <c r="K62" s="406" t="s">
        <v>5030</v>
      </c>
      <c r="L62" s="411" t="s">
        <v>1650</v>
      </c>
      <c r="M62" s="258" t="s">
        <v>5036</v>
      </c>
    </row>
    <row r="63" spans="2:14" ht="17.399999999999999" customHeight="1" x14ac:dyDescent="0.3">
      <c r="B63" s="405">
        <v>4</v>
      </c>
      <c r="C63" s="476" t="s">
        <v>1620</v>
      </c>
      <c r="D63" s="476"/>
      <c r="E63" s="476"/>
      <c r="F63" s="476"/>
      <c r="G63" s="476"/>
      <c r="H63" s="476"/>
      <c r="I63" s="476"/>
      <c r="J63" s="476"/>
      <c r="K63" s="407" t="s">
        <v>1631</v>
      </c>
      <c r="L63" s="413" t="s">
        <v>1651</v>
      </c>
      <c r="M63" s="411" t="s">
        <v>5028</v>
      </c>
    </row>
    <row r="64" spans="2:14" ht="17.399999999999999" customHeight="1" x14ac:dyDescent="0.3">
      <c r="B64" s="405">
        <v>5</v>
      </c>
      <c r="C64" s="475" t="s">
        <v>1627</v>
      </c>
      <c r="D64" s="475"/>
      <c r="E64" s="475"/>
      <c r="F64" s="475"/>
      <c r="G64" s="475"/>
      <c r="H64" s="475"/>
      <c r="I64" s="475"/>
      <c r="J64" s="475"/>
      <c r="K64" s="409" t="s">
        <v>1635</v>
      </c>
      <c r="L64" s="411" t="s">
        <v>1652</v>
      </c>
      <c r="M64" s="413" t="s">
        <v>5046</v>
      </c>
    </row>
    <row r="65" spans="2:18" ht="17.399999999999999" customHeight="1" x14ac:dyDescent="0.3">
      <c r="B65" s="405">
        <v>6</v>
      </c>
      <c r="C65" s="476" t="s">
        <v>1628</v>
      </c>
      <c r="D65" s="476"/>
      <c r="E65" s="476"/>
      <c r="F65" s="476"/>
      <c r="G65" s="476"/>
      <c r="H65" s="476"/>
      <c r="I65" s="476"/>
      <c r="J65" s="476"/>
      <c r="K65" s="410" t="s">
        <v>1636</v>
      </c>
      <c r="L65" s="413" t="s">
        <v>1653</v>
      </c>
      <c r="M65" s="411" t="s">
        <v>5026</v>
      </c>
    </row>
    <row r="66" spans="2:18" ht="17.399999999999999" customHeight="1" x14ac:dyDescent="0.3">
      <c r="B66" s="405">
        <v>7</v>
      </c>
      <c r="C66" s="475" t="s">
        <v>1659</v>
      </c>
      <c r="D66" s="475"/>
      <c r="E66" s="475"/>
      <c r="F66" s="475"/>
      <c r="G66" s="475"/>
      <c r="H66" s="475"/>
      <c r="I66" s="475"/>
      <c r="J66" s="475"/>
      <c r="K66" s="406" t="s">
        <v>1637</v>
      </c>
      <c r="L66" s="411" t="s">
        <v>1655</v>
      </c>
      <c r="M66" s="413" t="s">
        <v>5041</v>
      </c>
    </row>
    <row r="67" spans="2:18" ht="17.399999999999999" customHeight="1" x14ac:dyDescent="0.3">
      <c r="B67" s="405">
        <v>8</v>
      </c>
      <c r="C67" s="476" t="s">
        <v>1622</v>
      </c>
      <c r="D67" s="476"/>
      <c r="E67" s="476"/>
      <c r="F67" s="476"/>
      <c r="G67" s="476"/>
      <c r="H67" s="476"/>
      <c r="I67" s="476"/>
      <c r="J67" s="476"/>
      <c r="K67" s="410" t="s">
        <v>1638</v>
      </c>
      <c r="L67" s="413" t="s">
        <v>1632</v>
      </c>
      <c r="M67" s="417" t="s">
        <v>5049</v>
      </c>
    </row>
    <row r="68" spans="2:18" ht="17.399999999999999" customHeight="1" x14ac:dyDescent="0.3">
      <c r="B68" s="405">
        <v>9</v>
      </c>
      <c r="C68" s="475" t="s">
        <v>1625</v>
      </c>
      <c r="D68" s="475"/>
      <c r="E68" s="475"/>
      <c r="F68" s="475"/>
      <c r="G68" s="475"/>
      <c r="H68" s="475"/>
      <c r="I68" s="475"/>
      <c r="J68" s="475"/>
      <c r="K68" s="409" t="s">
        <v>1640</v>
      </c>
      <c r="L68" s="411" t="s">
        <v>5032</v>
      </c>
      <c r="M68" s="413" t="s">
        <v>5045</v>
      </c>
    </row>
    <row r="69" spans="2:18" ht="17.399999999999999" customHeight="1" x14ac:dyDescent="0.3">
      <c r="B69" s="405">
        <v>10</v>
      </c>
      <c r="C69" s="476" t="s">
        <v>1624</v>
      </c>
      <c r="D69" s="476"/>
      <c r="E69" s="476"/>
      <c r="F69" s="476"/>
      <c r="G69" s="476"/>
      <c r="H69" s="476"/>
      <c r="I69" s="476"/>
      <c r="J69" s="476"/>
      <c r="K69" s="407" t="s">
        <v>5031</v>
      </c>
      <c r="L69" s="413" t="s">
        <v>1658</v>
      </c>
      <c r="M69" s="418" t="s">
        <v>5048</v>
      </c>
    </row>
    <row r="70" spans="2:18" ht="17.399999999999999" customHeight="1" x14ac:dyDescent="0.3">
      <c r="B70" s="405" t="s">
        <v>2998</v>
      </c>
      <c r="C70" s="475" t="s">
        <v>1630</v>
      </c>
      <c r="D70" s="475"/>
      <c r="E70" s="475"/>
      <c r="F70" s="475"/>
      <c r="G70" s="475"/>
      <c r="H70" s="475"/>
      <c r="I70" s="475"/>
      <c r="J70" s="475"/>
      <c r="K70" s="406" t="s">
        <v>1643</v>
      </c>
      <c r="L70" s="412" t="s">
        <v>5035</v>
      </c>
      <c r="M70" s="413" t="s">
        <v>5044</v>
      </c>
    </row>
    <row r="71" spans="2:18" ht="17.399999999999999" customHeight="1" x14ac:dyDescent="0.3">
      <c r="B71" s="405" t="s">
        <v>2999</v>
      </c>
      <c r="C71" s="476" t="s">
        <v>5033</v>
      </c>
      <c r="D71" s="476"/>
      <c r="E71" s="476"/>
      <c r="F71" s="476"/>
      <c r="G71" s="476"/>
      <c r="H71" s="476"/>
      <c r="I71" s="476"/>
      <c r="J71" s="476"/>
      <c r="K71" s="411" t="s">
        <v>1644</v>
      </c>
      <c r="L71" s="413" t="s">
        <v>1660</v>
      </c>
      <c r="M71" s="414" t="s">
        <v>5047</v>
      </c>
    </row>
    <row r="72" spans="2:18" ht="17.399999999999999" customHeight="1" x14ac:dyDescent="0.3">
      <c r="B72" s="405" t="s">
        <v>3000</v>
      </c>
      <c r="C72" s="475" t="s">
        <v>1626</v>
      </c>
      <c r="D72" s="475"/>
      <c r="E72" s="475"/>
      <c r="F72" s="475"/>
      <c r="G72" s="475"/>
      <c r="H72" s="475"/>
      <c r="I72" s="475"/>
      <c r="J72" s="475"/>
      <c r="K72" s="413" t="s">
        <v>1645</v>
      </c>
      <c r="L72" s="411" t="s">
        <v>5022</v>
      </c>
      <c r="M72" s="416" t="s">
        <v>5043</v>
      </c>
    </row>
    <row r="73" spans="2:18" ht="17.399999999999999" customHeight="1" x14ac:dyDescent="0.3">
      <c r="B73" s="405" t="s">
        <v>953</v>
      </c>
      <c r="C73" s="477" t="s">
        <v>5037</v>
      </c>
      <c r="D73" s="478"/>
      <c r="E73" s="478"/>
      <c r="F73" s="478"/>
      <c r="G73" s="478"/>
      <c r="H73" s="478"/>
      <c r="I73" s="478"/>
      <c r="J73" s="479"/>
      <c r="K73" s="82" t="s">
        <v>5040</v>
      </c>
      <c r="L73" s="413" t="s">
        <v>5023</v>
      </c>
      <c r="M73" s="415" t="s">
        <v>5042</v>
      </c>
      <c r="N73" s="408"/>
      <c r="O73" s="408"/>
      <c r="P73" s="408"/>
      <c r="Q73" s="408"/>
      <c r="R73" s="408"/>
    </row>
    <row r="74" spans="2:18" ht="17.399999999999999" customHeight="1" x14ac:dyDescent="0.3">
      <c r="B74" s="405" t="s">
        <v>2996</v>
      </c>
      <c r="C74" s="472" t="s">
        <v>4458</v>
      </c>
      <c r="D74" s="473"/>
      <c r="E74" s="473"/>
      <c r="F74" s="473"/>
      <c r="G74" s="473"/>
      <c r="H74" s="473"/>
      <c r="I74" s="473"/>
      <c r="J74" s="474"/>
      <c r="K74" s="413" t="s">
        <v>5027</v>
      </c>
      <c r="L74" s="308"/>
      <c r="M74" s="308"/>
    </row>
    <row r="75" spans="2:18" x14ac:dyDescent="0.3">
      <c r="D75" s="24"/>
      <c r="E75" s="24"/>
      <c r="F75" s="24"/>
      <c r="G75" s="24"/>
      <c r="H75" s="24"/>
      <c r="I75" s="24"/>
      <c r="J75" s="24"/>
    </row>
  </sheetData>
  <mergeCells count="55">
    <mergeCell ref="C62:J62"/>
    <mergeCell ref="C61:J61"/>
    <mergeCell ref="C72:J72"/>
    <mergeCell ref="C73:J73"/>
    <mergeCell ref="C70:J70"/>
    <mergeCell ref="C71:J71"/>
    <mergeCell ref="C64:J64"/>
    <mergeCell ref="C63:J63"/>
    <mergeCell ref="C74:J74"/>
    <mergeCell ref="C68:J68"/>
    <mergeCell ref="C69:J69"/>
    <mergeCell ref="C65:J65"/>
    <mergeCell ref="C66:J66"/>
    <mergeCell ref="C67:J67"/>
    <mergeCell ref="B59:F59"/>
    <mergeCell ref="C60:J60"/>
    <mergeCell ref="C53:J53"/>
    <mergeCell ref="C54:J54"/>
    <mergeCell ref="C56:J56"/>
    <mergeCell ref="C55:J55"/>
    <mergeCell ref="C48:J48"/>
    <mergeCell ref="C49:J49"/>
    <mergeCell ref="C50:J50"/>
    <mergeCell ref="C51:J51"/>
    <mergeCell ref="C52:J52"/>
    <mergeCell ref="C43:J43"/>
    <mergeCell ref="C44:J44"/>
    <mergeCell ref="C45:J45"/>
    <mergeCell ref="C46:J46"/>
    <mergeCell ref="C47:J47"/>
    <mergeCell ref="C41:J41"/>
    <mergeCell ref="C42:J42"/>
    <mergeCell ref="C38:J38"/>
    <mergeCell ref="C39:J39"/>
    <mergeCell ref="C40:J40"/>
    <mergeCell ref="C37:J37"/>
    <mergeCell ref="I8:L8"/>
    <mergeCell ref="E24:F24"/>
    <mergeCell ref="E25:F25"/>
    <mergeCell ref="E21:F21"/>
    <mergeCell ref="B20:F20"/>
    <mergeCell ref="C30:J30"/>
    <mergeCell ref="C31:J31"/>
    <mergeCell ref="C32:J32"/>
    <mergeCell ref="C33:J33"/>
    <mergeCell ref="C34:J34"/>
    <mergeCell ref="C35:J35"/>
    <mergeCell ref="C36:J36"/>
    <mergeCell ref="K24:L24"/>
    <mergeCell ref="B1:H1"/>
    <mergeCell ref="E22:F22"/>
    <mergeCell ref="E23:F23"/>
    <mergeCell ref="C28:J28"/>
    <mergeCell ref="C29:J29"/>
    <mergeCell ref="B27:F27"/>
  </mergeCells>
  <conditionalFormatting sqref="B20:F26">
    <cfRule type="expression" dxfId="4" priority="1">
      <formula>IF(OR($I$1="Classic",$I$1=""),TRUE,FALSE)</formula>
    </cfRule>
  </conditionalFormatting>
  <conditionalFormatting sqref="B8:G18">
    <cfRule type="expression" dxfId="3" priority="3">
      <formula>IF(OR($I$1="Reloaded",$I$1=""),TRUE,FALSE)</formula>
    </cfRule>
  </conditionalFormatting>
  <conditionalFormatting sqref="D9:D18">
    <cfRule type="cellIs" dxfId="2" priority="4" operator="equal">
      <formula>"♦"</formula>
    </cfRule>
    <cfRule type="cellIs" dxfId="1" priority="5" operator="equal">
      <formula>"♥"</formula>
    </cfRule>
  </conditionalFormatting>
  <dataValidations count="4">
    <dataValidation type="list" allowBlank="1" showInputMessage="1" showErrorMessage="1" sqref="C9:C18" xr:uid="{00000000-0002-0000-0000-000000000000}">
      <formula1>Valeur_Cartes</formula1>
    </dataValidation>
    <dataValidation type="list" allowBlank="1" showInputMessage="1" showErrorMessage="1" sqref="D9:D18" xr:uid="{00000000-0002-0000-0000-000001000000}">
      <formula1>Couleur</formula1>
    </dataValidation>
    <dataValidation type="list" allowBlank="1" showInputMessage="1" showErrorMessage="1" sqref="M23" xr:uid="{00000000-0002-0000-0000-000002000000}">
      <formula1>X</formula1>
    </dataValidation>
    <dataValidation type="list" allowBlank="1" showInputMessage="1" showErrorMessage="1" sqref="I1" xr:uid="{00000000-0002-0000-0000-000003000000}">
      <formula1>Système</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tabColor rgb="FFFF0000"/>
  </sheetPr>
  <dimension ref="A1:J367"/>
  <sheetViews>
    <sheetView zoomScaleNormal="100" workbookViewId="0">
      <pane ySplit="1" topLeftCell="A2" activePane="bottomLeft" state="frozen"/>
      <selection pane="bottomLeft" activeCell="J41" sqref="J41"/>
    </sheetView>
  </sheetViews>
  <sheetFormatPr baseColWidth="10" defaultRowHeight="15" customHeight="1" x14ac:dyDescent="0.3"/>
  <cols>
    <col min="1" max="1" width="13.5546875" style="65" customWidth="1"/>
    <col min="2" max="2" width="29.5546875" customWidth="1"/>
    <col min="3" max="3" width="17.6640625" style="58" customWidth="1"/>
    <col min="4" max="4" width="11.5546875" style="1"/>
    <col min="5" max="5" width="10.88671875" style="1" customWidth="1"/>
    <col min="6" max="6" width="23" style="1" customWidth="1"/>
    <col min="7" max="7" width="8.109375" style="1" customWidth="1"/>
    <col min="8" max="8" width="13.44140625" style="1" customWidth="1"/>
    <col min="9" max="9" width="16.33203125" style="194" customWidth="1"/>
    <col min="10" max="10" width="149.44140625" style="65" customWidth="1"/>
    <col min="11" max="20" width="12.33203125" customWidth="1"/>
  </cols>
  <sheetData>
    <row r="1" spans="1:10" s="63" customFormat="1" ht="20.399999999999999" customHeight="1" x14ac:dyDescent="0.3">
      <c r="A1" s="200" t="s">
        <v>396</v>
      </c>
      <c r="B1" s="63" t="s">
        <v>0</v>
      </c>
      <c r="C1" s="187" t="str">
        <f>IF(Syst.="Classic","Trait/coût Act.","Mod. Au jet de Foi")</f>
        <v>Mod. Au jet de Foi</v>
      </c>
      <c r="D1" s="151" t="s">
        <v>2071</v>
      </c>
      <c r="E1" s="164" t="s">
        <v>950</v>
      </c>
      <c r="F1" s="164" t="s">
        <v>951</v>
      </c>
      <c r="G1" s="209" t="s">
        <v>2859</v>
      </c>
      <c r="H1" s="164" t="s">
        <v>957</v>
      </c>
      <c r="I1" s="193" t="s">
        <v>215</v>
      </c>
      <c r="J1" s="164" t="s">
        <v>2530</v>
      </c>
    </row>
    <row r="2" spans="1:10" ht="15" customHeight="1" x14ac:dyDescent="0.3">
      <c r="A2" s="65" t="s">
        <v>2077</v>
      </c>
      <c r="B2" t="s">
        <v>4548</v>
      </c>
      <c r="C2" s="58" t="s">
        <v>522</v>
      </c>
      <c r="D2" s="1" t="s">
        <v>522</v>
      </c>
      <c r="E2" s="1" t="s">
        <v>1802</v>
      </c>
      <c r="F2" s="1" t="str">
        <f>IF(chaman=TRUE,"1 h/pt. Ap.",IF(Aztèque=TRUE,"10 min/Niv.",""))</f>
        <v/>
      </c>
      <c r="G2" s="1">
        <v>4</v>
      </c>
      <c r="H2" s="1" t="s">
        <v>958</v>
      </c>
      <c r="I2" s="194" t="s">
        <v>2119</v>
      </c>
      <c r="J2" s="65" t="s">
        <v>2560</v>
      </c>
    </row>
    <row r="3" spans="1:10" ht="15" customHeight="1" x14ac:dyDescent="0.3">
      <c r="A3" s="65" t="s">
        <v>2077</v>
      </c>
      <c r="B3" t="str">
        <f>IF(Aztèque=TRUE,"Créer un Nagual","")</f>
        <v/>
      </c>
      <c r="C3" s="58" t="s">
        <v>522</v>
      </c>
      <c r="D3" s="1" t="s">
        <v>522</v>
      </c>
      <c r="E3" s="1" t="s">
        <v>1829</v>
      </c>
      <c r="F3" s="1" t="s">
        <v>2472</v>
      </c>
      <c r="G3" s="1" t="s">
        <v>522</v>
      </c>
      <c r="H3" s="1" t="s">
        <v>1731</v>
      </c>
      <c r="I3" s="194" t="s">
        <v>4544</v>
      </c>
      <c r="J3" s="65" t="s">
        <v>4541</v>
      </c>
    </row>
    <row r="4" spans="1:10" ht="15" customHeight="1" x14ac:dyDescent="0.3">
      <c r="A4" s="65" t="s">
        <v>2077</v>
      </c>
      <c r="B4" t="str">
        <f>IF(chaman=TRUE,"Esprit Guerrier","")</f>
        <v/>
      </c>
      <c r="C4" s="58" t="s">
        <v>522</v>
      </c>
      <c r="D4" s="1" t="s">
        <v>522</v>
      </c>
      <c r="E4" s="1" t="s">
        <v>522</v>
      </c>
      <c r="F4" s="1" t="s">
        <v>2088</v>
      </c>
      <c r="G4" s="1">
        <v>1</v>
      </c>
      <c r="H4" s="1" t="s">
        <v>1731</v>
      </c>
      <c r="I4" s="194" t="s">
        <v>2120</v>
      </c>
      <c r="J4" s="65" t="s">
        <v>2563</v>
      </c>
    </row>
    <row r="5" spans="1:10" ht="15" customHeight="1" x14ac:dyDescent="0.3">
      <c r="A5" s="65" t="s">
        <v>2077</v>
      </c>
      <c r="B5" t="str">
        <f>IF(Aztèque=TRUE,"Flèchettes de Mixcoatl","")</f>
        <v/>
      </c>
      <c r="C5" s="58" t="s">
        <v>522</v>
      </c>
      <c r="D5" s="1" t="s">
        <v>522</v>
      </c>
      <c r="E5" s="1">
        <v>1</v>
      </c>
      <c r="F5" s="1" t="s">
        <v>960</v>
      </c>
      <c r="G5" s="1" t="s">
        <v>522</v>
      </c>
      <c r="H5" s="1" t="s">
        <v>2785</v>
      </c>
      <c r="I5" s="194" t="s">
        <v>4544</v>
      </c>
      <c r="J5" s="65" t="s">
        <v>4542</v>
      </c>
    </row>
    <row r="6" spans="1:10" ht="15" customHeight="1" x14ac:dyDescent="0.3">
      <c r="A6" s="65" t="s">
        <v>2077</v>
      </c>
      <c r="B6" t="str">
        <f>IF(chaman=TRUE,"Fort comme l'ours","")</f>
        <v/>
      </c>
      <c r="C6" s="58" t="s">
        <v>522</v>
      </c>
      <c r="D6" s="1" t="s">
        <v>522</v>
      </c>
      <c r="E6" s="1" t="s">
        <v>522</v>
      </c>
      <c r="F6" s="1" t="s">
        <v>2087</v>
      </c>
      <c r="G6" s="1">
        <v>1</v>
      </c>
      <c r="H6" s="1" t="s">
        <v>1731</v>
      </c>
      <c r="I6" s="194" t="s">
        <v>2120</v>
      </c>
      <c r="J6" s="65" t="s">
        <v>2564</v>
      </c>
    </row>
    <row r="7" spans="1:10" ht="15" customHeight="1" x14ac:dyDescent="0.3">
      <c r="A7" s="65" t="s">
        <v>2077</v>
      </c>
      <c r="B7" t="str">
        <f>IF(chaman=TRUE,"Foudre fatale","")</f>
        <v/>
      </c>
      <c r="C7" s="58" t="s">
        <v>522</v>
      </c>
      <c r="D7" s="1" t="s">
        <v>522</v>
      </c>
      <c r="E7" s="1" t="s">
        <v>522</v>
      </c>
      <c r="F7" s="1" t="s">
        <v>960</v>
      </c>
      <c r="G7" s="1">
        <v>2</v>
      </c>
      <c r="H7" s="1" t="s">
        <v>2082</v>
      </c>
      <c r="I7" s="194" t="s">
        <v>2118</v>
      </c>
      <c r="J7" s="65" t="s">
        <v>2557</v>
      </c>
    </row>
    <row r="8" spans="1:10" ht="15" customHeight="1" x14ac:dyDescent="0.3">
      <c r="A8" s="65" t="s">
        <v>2077</v>
      </c>
      <c r="B8" t="str">
        <f>IF(chaman=TRUE,"La Parole de la terre","")</f>
        <v/>
      </c>
      <c r="C8" s="58" t="s">
        <v>522</v>
      </c>
      <c r="D8" s="1" t="s">
        <v>522</v>
      </c>
      <c r="E8" s="1" t="s">
        <v>522</v>
      </c>
      <c r="F8" s="1" t="s">
        <v>10</v>
      </c>
      <c r="G8" s="1">
        <v>1</v>
      </c>
      <c r="H8" s="1" t="s">
        <v>1731</v>
      </c>
      <c r="I8" s="194" t="s">
        <v>2118</v>
      </c>
      <c r="J8" s="65" t="s">
        <v>2556</v>
      </c>
    </row>
    <row r="9" spans="1:10" ht="15" customHeight="1" x14ac:dyDescent="0.3">
      <c r="A9" s="65" t="s">
        <v>2077</v>
      </c>
      <c r="B9" t="s">
        <v>2078</v>
      </c>
      <c r="C9" s="58" t="s">
        <v>522</v>
      </c>
      <c r="D9" s="1" t="s">
        <v>522</v>
      </c>
      <c r="E9" s="1" t="s">
        <v>522</v>
      </c>
      <c r="F9" s="1" t="s">
        <v>2472</v>
      </c>
      <c r="G9" s="152" t="s">
        <v>2085</v>
      </c>
      <c r="H9" s="1" t="s">
        <v>2080</v>
      </c>
      <c r="I9" s="194" t="s">
        <v>2118</v>
      </c>
      <c r="J9" s="65" t="s">
        <v>2567</v>
      </c>
    </row>
    <row r="10" spans="1:10" ht="15" customHeight="1" x14ac:dyDescent="0.3">
      <c r="A10" s="65" t="s">
        <v>2077</v>
      </c>
      <c r="B10" t="s">
        <v>2089</v>
      </c>
      <c r="C10" s="58" t="s">
        <v>522</v>
      </c>
      <c r="D10" s="1" t="s">
        <v>522</v>
      </c>
      <c r="E10" s="1" t="s">
        <v>522</v>
      </c>
      <c r="F10" s="1" t="s">
        <v>10</v>
      </c>
      <c r="G10" s="1">
        <v>2</v>
      </c>
      <c r="H10" s="1" t="s">
        <v>1731</v>
      </c>
      <c r="I10" s="194" t="s">
        <v>2120</v>
      </c>
      <c r="J10" s="65" t="s">
        <v>2570</v>
      </c>
    </row>
    <row r="11" spans="1:10" ht="15" customHeight="1" x14ac:dyDescent="0.3">
      <c r="A11" s="65" t="s">
        <v>2077</v>
      </c>
      <c r="B11" t="str">
        <f>IF(chaman=TRUE,"Médecine","")</f>
        <v/>
      </c>
      <c r="C11" s="58" t="s">
        <v>522</v>
      </c>
      <c r="D11" s="1" t="s">
        <v>522</v>
      </c>
      <c r="E11" s="1" t="s">
        <v>522</v>
      </c>
      <c r="F11" s="1" t="s">
        <v>2472</v>
      </c>
      <c r="G11" s="1" t="s">
        <v>2558</v>
      </c>
      <c r="H11" s="1" t="s">
        <v>1731</v>
      </c>
      <c r="I11" s="194" t="s">
        <v>2118</v>
      </c>
      <c r="J11" s="65" t="s">
        <v>2559</v>
      </c>
    </row>
    <row r="12" spans="1:10" ht="15" customHeight="1" x14ac:dyDescent="0.3">
      <c r="A12" s="65" t="s">
        <v>2077</v>
      </c>
      <c r="B12" t="s">
        <v>2083</v>
      </c>
      <c r="C12" s="58" t="s">
        <v>522</v>
      </c>
      <c r="D12" s="1" t="s">
        <v>522</v>
      </c>
      <c r="E12" s="1" t="s">
        <v>522</v>
      </c>
      <c r="F12" s="1" t="s">
        <v>2084</v>
      </c>
      <c r="G12" s="1" t="s">
        <v>2568</v>
      </c>
      <c r="H12" s="1" t="s">
        <v>958</v>
      </c>
      <c r="I12" s="194" t="s">
        <v>2119</v>
      </c>
      <c r="J12" s="65" t="s">
        <v>2569</v>
      </c>
    </row>
    <row r="13" spans="1:10" ht="15" customHeight="1" x14ac:dyDescent="0.3">
      <c r="A13" s="65" t="s">
        <v>2077</v>
      </c>
      <c r="B13" t="str">
        <f>IF(Aztèque=TRUE,"Peau du Boutonneux","")</f>
        <v/>
      </c>
      <c r="C13" s="58" t="s">
        <v>522</v>
      </c>
      <c r="D13" s="1" t="s">
        <v>522</v>
      </c>
      <c r="E13" s="1">
        <v>1</v>
      </c>
      <c r="F13" s="1" t="s">
        <v>4551</v>
      </c>
      <c r="G13" s="1" t="s">
        <v>522</v>
      </c>
      <c r="H13" s="1" t="s">
        <v>4543</v>
      </c>
      <c r="I13" s="194" t="s">
        <v>4549</v>
      </c>
      <c r="J13" s="65" t="s">
        <v>4552</v>
      </c>
    </row>
    <row r="14" spans="1:10" ht="15" customHeight="1" x14ac:dyDescent="0.3">
      <c r="A14" s="65" t="s">
        <v>2077</v>
      </c>
      <c r="B14" t="str">
        <f>IF(chaman=TRUE,"Planer avec les aigles","")</f>
        <v/>
      </c>
      <c r="C14" s="58" t="s">
        <v>522</v>
      </c>
      <c r="D14" s="1" t="s">
        <v>522</v>
      </c>
      <c r="E14" s="1" t="s">
        <v>522</v>
      </c>
      <c r="F14" s="1" t="s">
        <v>10</v>
      </c>
      <c r="G14" s="153" t="s">
        <v>2086</v>
      </c>
      <c r="H14" s="1" t="s">
        <v>958</v>
      </c>
      <c r="I14" s="194" t="s">
        <v>2119</v>
      </c>
      <c r="J14" s="65" t="s">
        <v>2561</v>
      </c>
    </row>
    <row r="15" spans="1:10" ht="15" customHeight="1" x14ac:dyDescent="0.3">
      <c r="A15" s="65" t="s">
        <v>2077</v>
      </c>
      <c r="B15" t="str">
        <f>IF(Aztèque=TRUE,"Rapide comme le jaguar","")</f>
        <v/>
      </c>
      <c r="C15" s="58" t="s">
        <v>522</v>
      </c>
      <c r="D15" s="1" t="s">
        <v>522</v>
      </c>
      <c r="E15" s="1">
        <v>1</v>
      </c>
      <c r="F15" s="1" t="s">
        <v>4546</v>
      </c>
      <c r="G15" s="153" t="s">
        <v>522</v>
      </c>
      <c r="H15" s="1" t="s">
        <v>1731</v>
      </c>
      <c r="I15" s="194" t="s">
        <v>4544</v>
      </c>
      <c r="J15" s="65" t="s">
        <v>4547</v>
      </c>
    </row>
    <row r="16" spans="1:10" ht="15" customHeight="1" x14ac:dyDescent="0.3">
      <c r="A16" s="65" t="s">
        <v>2077</v>
      </c>
      <c r="B16" t="str">
        <f>IF(chaman=TRUE,"Rapide comme le loup","")</f>
        <v/>
      </c>
      <c r="C16" s="58" t="s">
        <v>522</v>
      </c>
      <c r="D16" s="1" t="s">
        <v>522</v>
      </c>
      <c r="E16" s="1" t="s">
        <v>522</v>
      </c>
      <c r="F16" s="1" t="s">
        <v>2087</v>
      </c>
      <c r="G16" s="1">
        <v>1</v>
      </c>
      <c r="H16" s="1" t="s">
        <v>1731</v>
      </c>
      <c r="I16" s="194" t="s">
        <v>2120</v>
      </c>
      <c r="J16" s="65" t="s">
        <v>2562</v>
      </c>
    </row>
    <row r="17" spans="1:10" ht="15" customHeight="1" x14ac:dyDescent="0.3">
      <c r="A17" s="65" t="s">
        <v>2077</v>
      </c>
      <c r="B17" t="str">
        <f>IF(Aztèque=TRUE,"Sacrifice Involontaire","")</f>
        <v/>
      </c>
      <c r="C17" s="58" t="s">
        <v>522</v>
      </c>
      <c r="D17" s="1" t="s">
        <v>522</v>
      </c>
      <c r="E17" s="1">
        <v>2</v>
      </c>
      <c r="F17" s="1" t="s">
        <v>960</v>
      </c>
      <c r="G17" s="1" t="s">
        <v>522</v>
      </c>
      <c r="H17" s="1" t="s">
        <v>4543</v>
      </c>
      <c r="I17" s="194" t="s">
        <v>4544</v>
      </c>
      <c r="J17" s="65" t="s">
        <v>4545</v>
      </c>
    </row>
    <row r="18" spans="1:10" ht="15" customHeight="1" x14ac:dyDescent="0.3">
      <c r="A18" s="65" t="s">
        <v>2077</v>
      </c>
      <c r="B18" t="str">
        <f>IF(Aztèque=TRUE,"Soleil du Jaguar","")</f>
        <v/>
      </c>
      <c r="C18" s="58" t="s">
        <v>522</v>
      </c>
      <c r="D18" s="1" t="s">
        <v>522</v>
      </c>
      <c r="E18" s="1">
        <v>2</v>
      </c>
      <c r="F18" s="1" t="s">
        <v>960</v>
      </c>
      <c r="G18" s="1" t="s">
        <v>522</v>
      </c>
      <c r="H18" s="1" t="s">
        <v>4543</v>
      </c>
      <c r="I18" s="194" t="s">
        <v>4549</v>
      </c>
      <c r="J18" s="65" t="s">
        <v>4553</v>
      </c>
    </row>
    <row r="19" spans="1:10" ht="15" customHeight="1" x14ac:dyDescent="0.3">
      <c r="A19" s="65" t="s">
        <v>2077</v>
      </c>
      <c r="B19" t="str">
        <f>IF(chaman=TRUE,"Vent Favorable","")</f>
        <v/>
      </c>
      <c r="C19" s="58" t="s">
        <v>522</v>
      </c>
      <c r="D19" s="1" t="s">
        <v>522</v>
      </c>
      <c r="E19" s="1" t="s">
        <v>522</v>
      </c>
      <c r="F19" s="1" t="s">
        <v>2081</v>
      </c>
      <c r="G19" s="1">
        <v>1</v>
      </c>
      <c r="H19" s="1" t="s">
        <v>1731</v>
      </c>
      <c r="I19" s="194" t="s">
        <v>2118</v>
      </c>
      <c r="J19" s="65" t="s">
        <v>2555</v>
      </c>
    </row>
    <row r="20" spans="1:10" ht="15" customHeight="1" x14ac:dyDescent="0.3">
      <c r="A20" s="65" t="s">
        <v>2077</v>
      </c>
      <c r="B20" t="str">
        <f>IF(Aztèque=TRUE,"Vents d'Obsidienne","")</f>
        <v/>
      </c>
      <c r="C20" s="58" t="s">
        <v>522</v>
      </c>
      <c r="D20" s="1" t="s">
        <v>522</v>
      </c>
      <c r="E20" s="1">
        <v>2</v>
      </c>
      <c r="F20" s="1" t="s">
        <v>960</v>
      </c>
      <c r="G20" s="1" t="s">
        <v>522</v>
      </c>
      <c r="H20" s="1" t="s">
        <v>2785</v>
      </c>
      <c r="I20" s="194" t="s">
        <v>4549</v>
      </c>
      <c r="J20" s="65" t="s">
        <v>4550</v>
      </c>
    </row>
    <row r="21" spans="1:10" ht="15" customHeight="1" x14ac:dyDescent="0.3">
      <c r="A21" s="65" t="s">
        <v>2077</v>
      </c>
      <c r="B21" t="str">
        <f>IF(chaman=TRUE,"Vision mystique","")</f>
        <v/>
      </c>
      <c r="C21" s="58" t="s">
        <v>522</v>
      </c>
      <c r="D21" s="1" t="s">
        <v>522</v>
      </c>
      <c r="E21" s="1" t="s">
        <v>522</v>
      </c>
      <c r="F21" s="1" t="s">
        <v>960</v>
      </c>
      <c r="G21" s="1" t="s">
        <v>2566</v>
      </c>
      <c r="H21" s="1" t="s">
        <v>958</v>
      </c>
      <c r="I21" s="194" t="s">
        <v>2120</v>
      </c>
      <c r="J21" s="65" t="s">
        <v>2565</v>
      </c>
    </row>
    <row r="22" spans="1:10" ht="15" customHeight="1" x14ac:dyDescent="0.3">
      <c r="A22" s="65" t="s">
        <v>1896</v>
      </c>
      <c r="B22" t="s">
        <v>1876</v>
      </c>
      <c r="C22" s="58">
        <f>IF(Syst.="Classic","Âme",Foi - 4)</f>
        <v>-4</v>
      </c>
      <c r="D22" s="1">
        <v>11</v>
      </c>
      <c r="E22" s="1">
        <v>1</v>
      </c>
      <c r="F22" s="1" t="s">
        <v>10</v>
      </c>
      <c r="G22" s="1" t="s">
        <v>522</v>
      </c>
      <c r="H22" s="1" t="str">
        <f>IF(Syst.="Classic","5 m","5m")</f>
        <v>5m</v>
      </c>
      <c r="I22" s="194" t="str">
        <f>IF(Syst.="Classic","LCELC 89","")</f>
        <v/>
      </c>
      <c r="J22" s="65" t="s">
        <v>5295</v>
      </c>
    </row>
    <row r="23" spans="1:10" ht="15" customHeight="1" x14ac:dyDescent="0.3">
      <c r="A23" s="65" t="s">
        <v>1896</v>
      </c>
      <c r="B23" t="s">
        <v>5288</v>
      </c>
      <c r="C23" s="58">
        <f>IF(Syst.="Classic","Âme",Foi-1)</f>
        <v>-1</v>
      </c>
      <c r="D23" s="1">
        <v>13</v>
      </c>
      <c r="E23" s="1" t="s">
        <v>1802</v>
      </c>
      <c r="F23" s="1" t="str">
        <f>IF(Syst.="Classic",IF(Foi="","",CONCATENATE((ROUNDUP(Foi/2,0))," rounds")),"1 min")</f>
        <v>1 min</v>
      </c>
      <c r="G23" s="1" t="s">
        <v>522</v>
      </c>
      <c r="H23" s="1" t="str">
        <f>IF(Syst.="Classic","Spéciale","Personel")</f>
        <v>Personel</v>
      </c>
      <c r="I23" s="194" t="str">
        <f>IF(Syst.="Classic","LCELC 90","")</f>
        <v/>
      </c>
      <c r="J23" s="65" t="s">
        <v>5289</v>
      </c>
    </row>
    <row r="24" spans="1:10" ht="15" customHeight="1" x14ac:dyDescent="0.3">
      <c r="A24" s="65" t="s">
        <v>1896</v>
      </c>
      <c r="B24" t="s">
        <v>1877</v>
      </c>
      <c r="C24" s="58">
        <f>IF(Syst.="Classic","Âme",Foi-2)</f>
        <v>-2</v>
      </c>
      <c r="D24" s="1">
        <v>13</v>
      </c>
      <c r="E24" s="1" t="s">
        <v>1829</v>
      </c>
      <c r="F24" s="1" t="s">
        <v>2472</v>
      </c>
      <c r="G24" s="1" t="s">
        <v>522</v>
      </c>
      <c r="H24" s="1" t="str">
        <f>IF(Syst.="Classic","Contact","Toucher")</f>
        <v>Toucher</v>
      </c>
      <c r="I24" s="194" t="str">
        <f>IF(Syst.="Classic","LCELC 90","")</f>
        <v/>
      </c>
      <c r="J24" s="65" t="s">
        <v>1887</v>
      </c>
    </row>
    <row r="25" spans="1:10" ht="15" customHeight="1" x14ac:dyDescent="0.3">
      <c r="A25" s="65" t="s">
        <v>1896</v>
      </c>
      <c r="B25" t="s">
        <v>5293</v>
      </c>
      <c r="C25" s="58">
        <f>IF(Syst.="Classic","Âme",Foi-2)</f>
        <v>-2</v>
      </c>
      <c r="D25" s="1">
        <v>7</v>
      </c>
      <c r="E25" s="1">
        <v>1</v>
      </c>
      <c r="F25" s="1" t="s">
        <v>960</v>
      </c>
      <c r="G25" s="1" t="s">
        <v>522</v>
      </c>
      <c r="H25" s="1" t="str">
        <f>IF(Syst.="Classic",IF(Foi="","",CONCATENATE(Foi*10," m")),CONCATENATE(déAme," m"))</f>
        <v>0 m</v>
      </c>
      <c r="I25" s="194" t="str">
        <f>IF(Syst.="Classic","LCELC 91","DBI 24")</f>
        <v>DBI 24</v>
      </c>
      <c r="J25" s="65" t="str">
        <f>IF(Syst.="Classic",CONCATENATE("La cible perd autant de points de Souffle que le résultat obtenu par le Croyant sur le jet de Foi"),CONCATENATE("La cible subit 2d12 dégâts non létaux + 1d12 par Relance obtenue. Ces dégâts ignorent l'armure et ne peuvent pas être encaissés."))</f>
        <v>La cible subit 2d12 dégâts non létaux + 1d12 par Relance obtenue. Ces dégâts ignorent l'armure et ne peuvent pas être encaissés.</v>
      </c>
    </row>
    <row r="26" spans="1:10" ht="15" customHeight="1" x14ac:dyDescent="0.3">
      <c r="A26" s="65" t="s">
        <v>1896</v>
      </c>
      <c r="B26" t="s">
        <v>1878</v>
      </c>
      <c r="C26" s="58">
        <f>IF(Syst.="Classic","Âme",Foi-2)</f>
        <v>-2</v>
      </c>
      <c r="D26" s="1">
        <v>11</v>
      </c>
      <c r="E26" s="1" t="s">
        <v>1888</v>
      </c>
      <c r="F26" s="1" t="str">
        <f>IF(Syst.="Classic",IF(Foi="","",CONCATENATE(Foi," jours")),"1j/Succès et Relance")</f>
        <v>1j/Succès et Relance</v>
      </c>
      <c r="G26" s="1" t="s">
        <v>522</v>
      </c>
      <c r="H26" s="1" t="str">
        <f>IF(Syst.="Classic",IF(Foi="","",CONCATENATE(Foi*5," m")),CONCATENATE(déAme," m"))</f>
        <v>0 m</v>
      </c>
      <c r="I26" s="194" t="str">
        <f>IF(Syst.="Classic","LCELC 91","DBI 24")</f>
        <v>DBI 24</v>
      </c>
      <c r="J26" s="65" t="str">
        <f>IF(Syst.="Classic",CONCATENATE("Permet au Croyant de conférer à des gens normaux la faculté et la volonté de se défendre avec un bonus de +2 aux Aptitudes"),CONCATENATE("Le Croyant confère à 5 Extras coreligionaires un bonus de +2 par Succès et Relance à tous les jets dans le but d'accomplir la croisade."))</f>
        <v>Le Croyant confère à 5 Extras coreligionaires un bonus de +2 par Succès et Relance à tous les jets dans le but d'accomplir la croisade.</v>
      </c>
    </row>
    <row r="27" spans="1:10" ht="15" customHeight="1" x14ac:dyDescent="0.3">
      <c r="A27" s="65" t="s">
        <v>1896</v>
      </c>
      <c r="B27" t="s">
        <v>2522</v>
      </c>
      <c r="C27" s="58">
        <f>IF(Syst.="Classic","Âme",Foi-2)</f>
        <v>-2</v>
      </c>
      <c r="D27" s="1" t="s">
        <v>550</v>
      </c>
      <c r="E27" s="1">
        <v>3</v>
      </c>
      <c r="F27" s="1" t="s">
        <v>960</v>
      </c>
      <c r="G27" s="1" t="s">
        <v>522</v>
      </c>
      <c r="H27" s="1" t="s">
        <v>1818</v>
      </c>
      <c r="I27" s="194" t="s">
        <v>2523</v>
      </c>
      <c r="J27" s="65" t="str">
        <f>IF(Syst.="Classic",CONCATENATE("Si vous battez le ND de conception d'une machine, celle-ci tombe en ruine et devient inutilisable."),CONCATENATE("Si vous battez la Résistance d'une machine, celle-ci tombe en ruine et devient inutilisable."))</f>
        <v>Si vous battez la Résistance d'une machine, celle-ci tombe en ruine et devient inutilisable.</v>
      </c>
    </row>
    <row r="28" spans="1:10" ht="15" customHeight="1" x14ac:dyDescent="0.3">
      <c r="A28" s="65" t="s">
        <v>1896</v>
      </c>
      <c r="B28" t="s">
        <v>5283</v>
      </c>
      <c r="C28" s="58">
        <f>IF(Syst.="Classic","Âme",Foi-3)</f>
        <v>-3</v>
      </c>
      <c r="D28" s="1">
        <v>13</v>
      </c>
      <c r="E28" s="1" t="s">
        <v>1829</v>
      </c>
      <c r="F28" s="1" t="str">
        <f>IF(Syst.="Classic",IF(Foi="","",CONCATENATE(Foi,"heures")),"1h/Succès et Relance")</f>
        <v>1h/Succès et Relance</v>
      </c>
      <c r="G28" s="1" t="s">
        <v>522</v>
      </c>
      <c r="H28" s="1" t="str">
        <f>IF(Syst.="Classic",IF(Foi="","",CONCATENATE(Foi*1.5," km")),CONCATENATE(déAme*1.5," km"))</f>
        <v>0 km</v>
      </c>
      <c r="I28" s="194" t="str">
        <f>IF(Syst.="Classic","LCELC 92","DBI 24")</f>
        <v>DBI 24</v>
      </c>
      <c r="J28" s="65" t="str">
        <f>IF(Syst.="Classic",CONCATENATE("Fait apparaître une tempête quasi biblique (du vent, de la pluie et même quelques éclairs du plus bel effet."),CONCATENATE("Tempête centré sur le lanceur. Visibilité réduite à 12 cases, 1d6 dégâts + 1 par Succès et Relance. Malus de -2 à toutes les actions physiques."))</f>
        <v>Tempête centré sur le lanceur. Visibilité réduite à 12 cases, 1d6 dégâts + 1 par Succès et Relance. Malus de -2 à toutes les actions physiques.</v>
      </c>
    </row>
    <row r="29" spans="1:10" ht="15" customHeight="1" x14ac:dyDescent="0.3">
      <c r="A29" s="65" t="s">
        <v>1896</v>
      </c>
      <c r="B29" t="s">
        <v>1879</v>
      </c>
      <c r="C29" s="58">
        <f>IF(Syst.="Classic","Âme",Foi-1)</f>
        <v>-1</v>
      </c>
      <c r="D29" s="1">
        <v>13</v>
      </c>
      <c r="E29" s="1" t="s">
        <v>1889</v>
      </c>
      <c r="F29" s="1" t="s">
        <v>2472</v>
      </c>
      <c r="G29" s="1" t="s">
        <v>522</v>
      </c>
      <c r="H29" s="1" t="str">
        <f>IF(Syst.="Classic","Contact","Toucher")</f>
        <v>Toucher</v>
      </c>
      <c r="I29" s="194" t="str">
        <f>IF(Syst.="Classic","LCELC 93","")</f>
        <v/>
      </c>
      <c r="J29" s="65" t="s">
        <v>5297</v>
      </c>
    </row>
    <row r="30" spans="1:10" ht="15" customHeight="1" x14ac:dyDescent="0.3">
      <c r="A30" s="65" t="s">
        <v>1896</v>
      </c>
      <c r="B30" t="s">
        <v>1880</v>
      </c>
      <c r="C30" s="58">
        <f>IF(Syst.="Classic","Âme",Foi-1)</f>
        <v>-1</v>
      </c>
      <c r="D30" s="1">
        <v>9</v>
      </c>
      <c r="E30" s="1">
        <v>1</v>
      </c>
      <c r="F30" s="1" t="s">
        <v>2472</v>
      </c>
      <c r="G30" s="1" t="s">
        <v>522</v>
      </c>
      <c r="H30" s="1" t="str">
        <f>IF(Syst.="Classic","Contact","Toucher")</f>
        <v>Toucher</v>
      </c>
      <c r="I30" s="194" t="str">
        <f>IF(Syst.="Classic","LCELC 94","DBI 26")</f>
        <v>DBI 26</v>
      </c>
      <c r="J30" s="65" t="str">
        <f>CONCATENATE("Ce pouvoir identifie la cible du sceau invisible de l'Infâmie. Quiconque croise sa route saura qu'il faut s'en méfier. La cible subit un malus de -2 en Persuasion",IF(Syst.="Classic","-1 supplémentaire par Bénédiction dépensée"," et Résaux -1 supplémentaire par Succès et Relance obtenus."))</f>
        <v>Ce pouvoir identifie la cible du sceau invisible de l'Infâmie. Quiconque croise sa route saura qu'il faut s'en méfier. La cible subit un malus de -2 en Persuasion et Résaux -1 supplémentaire par Succès et Relance obtenus.</v>
      </c>
    </row>
    <row r="31" spans="1:10" ht="15" customHeight="1" x14ac:dyDescent="0.3">
      <c r="A31" s="65" t="s">
        <v>1896</v>
      </c>
      <c r="B31" t="s">
        <v>1881</v>
      </c>
      <c r="C31" s="58">
        <f>IF(Syst.="Classic","Âme",Foi-1)</f>
        <v>-1</v>
      </c>
      <c r="D31" s="1">
        <v>11</v>
      </c>
      <c r="E31" s="1" t="s">
        <v>1829</v>
      </c>
      <c r="F31" s="1" t="s">
        <v>2472</v>
      </c>
      <c r="G31" s="1" t="s">
        <v>522</v>
      </c>
      <c r="H31" s="1" t="str">
        <f>IF(Syst.="Classic","Contact","Toucher")</f>
        <v>Toucher</v>
      </c>
      <c r="I31" s="194" t="str">
        <f>IF(Syst.="Classic","LCELC 94","DBI 26")</f>
        <v>DBI 26</v>
      </c>
      <c r="J31" s="65" t="str">
        <f>CONCATENATE("Le Croyant peut aider un Déterré (s’il est consentant) à récupérer des points de Dominion. Il peut faire un test de Domination avec un bonus de +1",IF(Syst.="Classic", "par Bénédiction supplémentaire dépensée."," par Succès et Relance."))</f>
        <v>Le Croyant peut aider un Déterré (s’il est consentant) à récupérer des points de Dominion. Il peut faire un test de Domination avec un bonus de +1 par Succès et Relance.</v>
      </c>
    </row>
    <row r="32" spans="1:10" ht="15" customHeight="1" x14ac:dyDescent="0.3">
      <c r="A32" s="65" t="s">
        <v>1896</v>
      </c>
      <c r="B32" t="s">
        <v>5285</v>
      </c>
      <c r="C32" s="58">
        <f>IF(Syst.="Classic","Âme",Foi-2)</f>
        <v>-2</v>
      </c>
      <c r="D32" s="1">
        <v>11</v>
      </c>
      <c r="E32" s="1" t="s">
        <v>1890</v>
      </c>
      <c r="F32" s="1" t="s">
        <v>960</v>
      </c>
      <c r="G32" s="1" t="s">
        <v>522</v>
      </c>
      <c r="H32" s="1" t="s">
        <v>1891</v>
      </c>
      <c r="I32" s="194" t="str">
        <f>IF(Syst.="Classic","LCELC 95","DBI 24")</f>
        <v>DBI 24</v>
      </c>
      <c r="J32" s="65" t="s">
        <v>1892</v>
      </c>
    </row>
    <row r="33" spans="1:10" ht="15" customHeight="1" x14ac:dyDescent="0.3">
      <c r="A33" s="65" t="s">
        <v>1896</v>
      </c>
      <c r="B33" t="s">
        <v>5286</v>
      </c>
      <c r="C33" s="58">
        <f>IF(Syst.="Classic","Âme",Foi-3)</f>
        <v>-3</v>
      </c>
      <c r="D33" s="1">
        <v>13</v>
      </c>
      <c r="E33" s="1" t="s">
        <v>1888</v>
      </c>
      <c r="F33" s="1" t="str">
        <f>IF(Syst.="Classic",IF(Foi="","",CONCATENATE(Foi,"jours")),"1j/Succès et Relance")</f>
        <v>1j/Succès et Relance</v>
      </c>
      <c r="G33" s="1" t="s">
        <v>522</v>
      </c>
      <c r="H33" s="1" t="s">
        <v>1814</v>
      </c>
      <c r="I33" s="194" t="str">
        <f>IF(Syst.="Classic","LCELC 96","DBI 24")</f>
        <v>DBI 24</v>
      </c>
      <c r="J33" s="65" t="s">
        <v>5287</v>
      </c>
    </row>
    <row r="34" spans="1:10" ht="15" customHeight="1" x14ac:dyDescent="0.3">
      <c r="A34" s="65" t="s">
        <v>1896</v>
      </c>
      <c r="B34" t="s">
        <v>2524</v>
      </c>
      <c r="C34" s="58">
        <f>IF(Syst.="Classic","Âme",Foi-3)</f>
        <v>-3</v>
      </c>
      <c r="D34" s="1">
        <v>13</v>
      </c>
      <c r="E34" s="1" t="s">
        <v>981</v>
      </c>
      <c r="F34" s="1" t="s">
        <v>10</v>
      </c>
      <c r="G34" s="1" t="s">
        <v>522</v>
      </c>
      <c r="H34" s="1" t="s">
        <v>2525</v>
      </c>
      <c r="I34" s="194" t="str">
        <f>IF(Syst.="Classic","Hex 19","")</f>
        <v/>
      </c>
      <c r="J34" s="65" t="str">
        <f>CONCATENATE("Le prêtre et un maximum de",Foi," personnes sont protégéés de toute mort naturelle tant que perdure le sort, qu'elles prient et restent près du prêtre")</f>
        <v>Le prêtre et un maximum de personnes sont protégéés de toute mort naturelle tant que perdure le sort, qu'elles prient et restent près du prêtre</v>
      </c>
    </row>
    <row r="35" spans="1:10" ht="15" customHeight="1" x14ac:dyDescent="0.3">
      <c r="A35" s="65" t="s">
        <v>1896</v>
      </c>
      <c r="B35" t="s">
        <v>5292</v>
      </c>
      <c r="C35" s="58">
        <f>IF(Syst.="Classic","Âme",Foi-2)</f>
        <v>-2</v>
      </c>
      <c r="D35" s="1">
        <v>11</v>
      </c>
      <c r="E35" s="1">
        <v>2</v>
      </c>
      <c r="F35" s="1" t="s">
        <v>10</v>
      </c>
      <c r="G35" s="1" t="s">
        <v>522</v>
      </c>
      <c r="H35" s="1" t="s">
        <v>958</v>
      </c>
      <c r="I35" s="194" t="str">
        <f>IF(Syst.="Classic","LCELC 97","DBI 27")</f>
        <v>DBI 27</v>
      </c>
      <c r="J35" s="65" t="s">
        <v>1893</v>
      </c>
    </row>
    <row r="36" spans="1:10" ht="15" customHeight="1" x14ac:dyDescent="0.3">
      <c r="A36" s="65" t="s">
        <v>1896</v>
      </c>
      <c r="B36" t="s">
        <v>5291</v>
      </c>
      <c r="C36" s="58">
        <f>IF(Syst.="Classic","Âme",Foi-2)</f>
        <v>-2</v>
      </c>
      <c r="D36" s="1">
        <v>11</v>
      </c>
      <c r="E36" s="1" t="s">
        <v>1894</v>
      </c>
      <c r="F36" s="1" t="str">
        <f>IF(Syst.="Classic",IF(Foi="","",CONCATENATE(Foi*5," min")),"1round/Succès et Relance")</f>
        <v>1round/Succès et Relance</v>
      </c>
      <c r="G36" s="1" t="s">
        <v>522</v>
      </c>
      <c r="H36" s="1" t="str">
        <f>IF(Syst.="Classic","Contact","Toucher")</f>
        <v>Toucher</v>
      </c>
      <c r="I36" s="194" t="str">
        <f>IF(Syst.="Classic","LCELC 98","DBI 27")</f>
        <v>DBI 27</v>
      </c>
      <c r="J36" s="65" t="s">
        <v>2715</v>
      </c>
    </row>
    <row r="37" spans="1:10" ht="15" customHeight="1" x14ac:dyDescent="0.3">
      <c r="A37" s="65" t="s">
        <v>1896</v>
      </c>
      <c r="B37" t="s">
        <v>5284</v>
      </c>
      <c r="C37" s="58">
        <f>IF(Syst.="Classic","Âme",Foi-2)</f>
        <v>-2</v>
      </c>
      <c r="D37" s="1">
        <v>11</v>
      </c>
      <c r="E37" s="1">
        <v>1</v>
      </c>
      <c r="F37" s="1" t="s">
        <v>1829</v>
      </c>
      <c r="G37" s="1" t="s">
        <v>522</v>
      </c>
      <c r="H37" s="1" t="str">
        <f>IF(Syst.="Classic",IF(Foi="","",CONCATENATE(Foi*5," m")),CONCATENATE(déAme*2," m"))</f>
        <v>0 m</v>
      </c>
      <c r="I37" s="194" t="str">
        <f>IF(Syst.="Classic","LCELC 98","DBI 25")</f>
        <v>DBI 25</v>
      </c>
      <c r="J37" s="65" t="s">
        <v>5296</v>
      </c>
    </row>
    <row r="38" spans="1:10" ht="15" customHeight="1" x14ac:dyDescent="0.3">
      <c r="A38" s="65" t="s">
        <v>1896</v>
      </c>
      <c r="B38" t="s">
        <v>2162</v>
      </c>
      <c r="C38" s="58">
        <f>IF(Syst.="Classic","Âme",Foi-1)</f>
        <v>-1</v>
      </c>
      <c r="D38" s="1">
        <v>9</v>
      </c>
      <c r="E38" s="1">
        <v>1</v>
      </c>
      <c r="F38" s="1" t="s">
        <v>5294</v>
      </c>
      <c r="G38" s="1" t="s">
        <v>522</v>
      </c>
      <c r="H38" s="1" t="str">
        <f>IF(Syst.="Classic","Contact","Toucher")</f>
        <v>Toucher</v>
      </c>
      <c r="I38" s="194" t="str">
        <f>IF(Syst.="Classic","LCELC 99","DBI 26")</f>
        <v>DBI 26</v>
      </c>
      <c r="J38" s="65" t="s">
        <v>2163</v>
      </c>
    </row>
    <row r="39" spans="1:10" ht="15" customHeight="1" x14ac:dyDescent="0.3">
      <c r="A39" s="65" t="s">
        <v>1896</v>
      </c>
      <c r="B39" t="s">
        <v>1883</v>
      </c>
      <c r="C39" s="58">
        <f>IF(Syst.="Classic","Âme",Foi-3)</f>
        <v>-3</v>
      </c>
      <c r="D39" s="1">
        <v>13</v>
      </c>
      <c r="E39" s="1" t="s">
        <v>1829</v>
      </c>
      <c r="F39" s="1" t="s">
        <v>960</v>
      </c>
      <c r="G39" s="1" t="s">
        <v>522</v>
      </c>
      <c r="H39" s="1" t="s">
        <v>1891</v>
      </c>
      <c r="I39" s="194" t="str">
        <f>IF(Syst.="Classic","LCELC 99","DBI 27")</f>
        <v>DBI 27</v>
      </c>
      <c r="J39" s="65" t="str">
        <f>CONCATENATE("Affecte un seul et unique objet (bâtiment ou véhicule) dont la base au sol ne peut dépasser plus de",Foi," X10m. Les bâtiments subissent ",Foi*2,"d20 points de dégâts (",Foi*2,"d12 pour les véhicules)")</f>
        <v>Affecte un seul et unique objet (bâtiment ou véhicule) dont la base au sol ne peut dépasser plus de X10m. Les bâtiments subissent 0d20 points de dégâts (0d12 pour les véhicules)</v>
      </c>
    </row>
    <row r="40" spans="1:10" ht="15" customHeight="1" x14ac:dyDescent="0.3">
      <c r="A40" s="65" t="s">
        <v>1896</v>
      </c>
      <c r="B40" t="s">
        <v>5290</v>
      </c>
      <c r="C40" s="58">
        <f>IF(Syst.="Classic","Âme",Foi-2)</f>
        <v>-2</v>
      </c>
      <c r="D40" s="1">
        <v>11</v>
      </c>
      <c r="E40" s="1">
        <v>2</v>
      </c>
      <c r="F40" s="1" t="str">
        <f>IF(Syst.="Classic",IF(Foi="","",CONCATENATE(Foi," mois")),"1mois/Succès et Relance")</f>
        <v>1mois/Succès et Relance</v>
      </c>
      <c r="G40" s="1" t="s">
        <v>522</v>
      </c>
      <c r="H40" s="1" t="str">
        <f>IF(Syst.="Classic",IF(Foi="","",CONCATENATE(Foi," m")),CONCATENATE(déAme," m"))</f>
        <v>0 m</v>
      </c>
      <c r="I40" s="194" t="str">
        <f>IF(Syst.="Classic","LCELC 101","DBI 26")</f>
        <v>DBI 26</v>
      </c>
      <c r="J40" s="65" t="str">
        <f>CONCATENATE("Fait instantanément pourrir un bras ou une jambe uniquement qui encaisse immédiatement l’équivalent d’une blessure. Celle-ci durera un nombre de mois égal à la quantité de ",IF(Syst.="Classic","Bénédiction supplémentaire dépensée","Succès et de Relances obtenus sur le jet de Foi")," Si la victime trucide le lanceur, l'effet devient permanent.")</f>
        <v>Fait instantanément pourrir un bras ou une jambe uniquement qui encaisse immédiatement l’équivalent d’une blessure. Celle-ci durera un nombre de mois égal à la quantité de Succès et de Relances obtenus sur le jet de Foi Si la victime trucide le lanceur, l'effet devient permanent.</v>
      </c>
    </row>
    <row r="41" spans="1:10" ht="15" customHeight="1" x14ac:dyDescent="0.3">
      <c r="A41" s="65" t="s">
        <v>1896</v>
      </c>
      <c r="B41" t="s">
        <v>1884</v>
      </c>
      <c r="C41" s="58">
        <f>IF(Syst.="Classic","Âme",Foi - 4)</f>
        <v>-4</v>
      </c>
      <c r="D41" s="1">
        <v>13</v>
      </c>
      <c r="E41" s="1" t="s">
        <v>1895</v>
      </c>
      <c r="F41" s="1" t="s">
        <v>2472</v>
      </c>
      <c r="G41" s="1" t="s">
        <v>522</v>
      </c>
      <c r="H41" s="1" t="str">
        <f>IF(Syst.="Classic","Contact","Toucher")</f>
        <v>Toucher</v>
      </c>
      <c r="I41" s="194" t="str">
        <f>IF(Syst.="Classic","LCELC 102","DBI 27")</f>
        <v>DBI 27</v>
      </c>
      <c r="J41" s="65" t="str">
        <f>CONCATENATE("Le bénéficiaire doit être mort depuis moins de ",IF(Syst.="Classic",Foi,ROUNDUP(déAme/2,0))," jours. Si c’est le cas, il se réveille frais comme un gardon, sans plus aucune blessure ",IF(Syst.="Classic","et avec l’intégralité de ses points de Souffle",""),"mais avec la cicatrice de ce qui l'a tué.")</f>
        <v>Le bénéficiaire doit être mort depuis moins de 0 jours. Si c’est le cas, il se réveille frais comme un gardon, sans plus aucune blessure mais avec la cicatrice de ce qui l'a tué.</v>
      </c>
    </row>
    <row r="42" spans="1:10" ht="15" customHeight="1" x14ac:dyDescent="0.3">
      <c r="A42" s="65" t="s">
        <v>1896</v>
      </c>
      <c r="B42" t="s">
        <v>1885</v>
      </c>
      <c r="C42" s="58">
        <f>IF(Syst.="Classic","Âme",Foi - 4)</f>
        <v>-4</v>
      </c>
      <c r="D42" s="1">
        <v>11</v>
      </c>
      <c r="E42" s="1">
        <v>1</v>
      </c>
      <c r="F42" s="1" t="s">
        <v>1814</v>
      </c>
      <c r="G42" s="1" t="s">
        <v>522</v>
      </c>
      <c r="H42" s="1" t="s">
        <v>958</v>
      </c>
      <c r="I42" s="194" t="str">
        <f>IF(Syst.="Classic","LCELC 102","")</f>
        <v/>
      </c>
      <c r="J42" s="65" t="str">
        <f>CONCATENATE("Le temps revient en arrière d’une minute plus une de plus par ",IF(Syst.="Classic","Bénédiction supplémentaire dépensée.","Relance et Succès obtenus")," Cette Intervention Divine affecte tout le monde.")</f>
        <v>Le temps revient en arrière d’une minute plus une de plus par Relance et Succès obtenus Cette Intervention Divine affecte tout le monde.</v>
      </c>
    </row>
    <row r="43" spans="1:10" ht="15" customHeight="1" x14ac:dyDescent="0.3">
      <c r="A43" s="65" t="s">
        <v>1896</v>
      </c>
      <c r="B43" t="s">
        <v>1886</v>
      </c>
      <c r="C43" s="58">
        <f>IF(Syst.="Classic","Âme",Foi - 4)</f>
        <v>-4</v>
      </c>
      <c r="D43" s="1">
        <v>9</v>
      </c>
      <c r="E43" s="1" t="s">
        <v>1740</v>
      </c>
      <c r="F43" s="1" t="str">
        <f>IF(Syst.="Classic",IF(Foi="","",CONCATENATE(Foi*20," min")),"20min/Succès et Relance")</f>
        <v>20min/Succès et Relance</v>
      </c>
      <c r="G43" s="1" t="s">
        <v>522</v>
      </c>
      <c r="H43" s="1" t="str">
        <f>IF(Syst.="Classic",IF(Foi="","",CONCATENATE(Foi*20," m")),CONCATENATE(déAme*20," m"))</f>
        <v>0 m</v>
      </c>
      <c r="I43" s="194" t="str">
        <f>IF(Syst.="Classic","LCELC 103","")</f>
        <v/>
      </c>
      <c r="J43" s="65" t="str">
        <f>CONCATENATE("Force les eaux à s’écarter. Le cours d’eau ou le plan d’eau ne doit pas faire plus de ",Foi*10," m de large et de profondeur. L’eau s’écarte de 10m toutes les 5 minutes, en commençant au niveau du Croyant. Le sol ainsi révélé est sec.")</f>
        <v>Force les eaux à s’écarter. Le cours d’eau ou le plan d’eau ne doit pas faire plus de 0 m de large et de profondeur. L’eau s’écarte de 10m toutes les 5 minutes, en commençant au niveau du Croyant. Le sol ainsi révélé est sec.</v>
      </c>
    </row>
    <row r="44" spans="1:10" ht="15" customHeight="1" x14ac:dyDescent="0.3">
      <c r="A44" s="65" t="s">
        <v>998</v>
      </c>
      <c r="B44" t="s">
        <v>1727</v>
      </c>
      <c r="C44" s="58" t="s">
        <v>1728</v>
      </c>
      <c r="D44" s="1">
        <v>9</v>
      </c>
      <c r="E44" s="1">
        <v>1</v>
      </c>
      <c r="F44" s="1">
        <v>1</v>
      </c>
      <c r="G44" s="1" t="s">
        <v>522</v>
      </c>
      <c r="H44" s="1" t="s">
        <v>958</v>
      </c>
      <c r="I44" s="194" t="s">
        <v>2124</v>
      </c>
      <c r="J44" s="65" t="s">
        <v>1729</v>
      </c>
    </row>
    <row r="45" spans="1:10" ht="15" customHeight="1" x14ac:dyDescent="0.3">
      <c r="A45" s="65" t="s">
        <v>998</v>
      </c>
      <c r="B45" t="s">
        <v>1753</v>
      </c>
      <c r="C45" s="58" t="s">
        <v>1728</v>
      </c>
      <c r="D45" s="1" t="s">
        <v>1730</v>
      </c>
      <c r="E45" s="1">
        <v>1</v>
      </c>
      <c r="F45" s="1" t="s">
        <v>2472</v>
      </c>
      <c r="G45" s="1" t="s">
        <v>522</v>
      </c>
      <c r="H45" s="1" t="s">
        <v>1731</v>
      </c>
      <c r="I45" s="194" t="s">
        <v>2125</v>
      </c>
      <c r="J45" s="65" t="s">
        <v>1732</v>
      </c>
    </row>
    <row r="46" spans="1:10" ht="15" customHeight="1" x14ac:dyDescent="0.3">
      <c r="A46" s="65" t="s">
        <v>998</v>
      </c>
      <c r="B46" t="s">
        <v>1754</v>
      </c>
      <c r="C46" s="58" t="s">
        <v>1728</v>
      </c>
      <c r="D46" s="1">
        <v>5</v>
      </c>
      <c r="E46" s="1">
        <v>1</v>
      </c>
      <c r="F46" s="1" t="s">
        <v>10</v>
      </c>
      <c r="G46" s="1" t="s">
        <v>522</v>
      </c>
      <c r="H46" s="1" t="str">
        <f>IF(Foi="","",CONCATENATE(Foi*10," m"))</f>
        <v/>
      </c>
      <c r="I46" s="194" t="s">
        <v>2125</v>
      </c>
      <c r="J46" s="65" t="s">
        <v>1733</v>
      </c>
    </row>
    <row r="47" spans="1:10" ht="15" customHeight="1" x14ac:dyDescent="0.3">
      <c r="A47" s="65" t="s">
        <v>998</v>
      </c>
      <c r="B47" t="s">
        <v>1734</v>
      </c>
      <c r="C47" s="58" t="s">
        <v>1728</v>
      </c>
      <c r="D47" s="1">
        <v>5</v>
      </c>
      <c r="E47" s="1">
        <v>1</v>
      </c>
      <c r="F47" s="1" t="str">
        <f>IF(Foi="","",CONCATENATE(Foi*5," rounds"))</f>
        <v/>
      </c>
      <c r="G47" s="1" t="s">
        <v>522</v>
      </c>
      <c r="H47" s="1" t="s">
        <v>1731</v>
      </c>
      <c r="I47" s="194" t="s">
        <v>2125</v>
      </c>
      <c r="J47" s="65" t="s">
        <v>1735</v>
      </c>
    </row>
    <row r="48" spans="1:10" ht="15" customHeight="1" x14ac:dyDescent="0.3">
      <c r="A48" s="65" t="s">
        <v>998</v>
      </c>
      <c r="B48" t="s">
        <v>2127</v>
      </c>
      <c r="C48" s="58" t="s">
        <v>1728</v>
      </c>
      <c r="D48" s="1">
        <v>5</v>
      </c>
      <c r="E48" s="1">
        <v>1</v>
      </c>
      <c r="F48" s="1">
        <v>1</v>
      </c>
      <c r="G48" s="1" t="s">
        <v>522</v>
      </c>
      <c r="H48" s="1" t="s">
        <v>958</v>
      </c>
      <c r="I48" s="194" t="s">
        <v>2126</v>
      </c>
      <c r="J48" s="65" t="s">
        <v>1736</v>
      </c>
    </row>
    <row r="49" spans="1:10" ht="15" customHeight="1" x14ac:dyDescent="0.3">
      <c r="A49" s="65" t="s">
        <v>998</v>
      </c>
      <c r="B49" t="s">
        <v>1737</v>
      </c>
      <c r="C49" s="58" t="s">
        <v>1728</v>
      </c>
      <c r="D49" s="1">
        <v>5</v>
      </c>
      <c r="E49" s="1">
        <v>2</v>
      </c>
      <c r="F49" s="1" t="str">
        <f>IF(Foi="","",CONCATENATE(Foi*10," min"))</f>
        <v/>
      </c>
      <c r="G49" s="1" t="s">
        <v>522</v>
      </c>
      <c r="H49" s="1" t="s">
        <v>1731</v>
      </c>
      <c r="I49" s="194" t="s">
        <v>2126</v>
      </c>
      <c r="J49" s="65" t="s">
        <v>2722</v>
      </c>
    </row>
    <row r="50" spans="1:10" ht="15" customHeight="1" x14ac:dyDescent="0.3">
      <c r="A50" s="65" t="s">
        <v>998</v>
      </c>
      <c r="B50" t="s">
        <v>1738</v>
      </c>
      <c r="C50" s="58" t="s">
        <v>1728</v>
      </c>
      <c r="D50" s="1">
        <v>5</v>
      </c>
      <c r="E50" s="1">
        <v>1</v>
      </c>
      <c r="F50" s="1" t="str">
        <f>IF(Foi="","",CONCATENATE(Foi*5," rounds"))</f>
        <v/>
      </c>
      <c r="G50" s="1" t="s">
        <v>522</v>
      </c>
      <c r="H50" s="1" t="str">
        <f>IF(Foi="","",CONCATENATE(Foi*10," m"))</f>
        <v/>
      </c>
      <c r="I50" s="194" t="s">
        <v>2126</v>
      </c>
      <c r="J50" s="65" t="s">
        <v>1739</v>
      </c>
    </row>
    <row r="51" spans="1:10" ht="15" customHeight="1" x14ac:dyDescent="0.3">
      <c r="A51" s="65" t="s">
        <v>998</v>
      </c>
      <c r="B51" t="s">
        <v>1752</v>
      </c>
      <c r="C51" s="58" t="s">
        <v>1728</v>
      </c>
      <c r="D51" s="1">
        <v>7</v>
      </c>
      <c r="E51" s="1" t="s">
        <v>1740</v>
      </c>
      <c r="F51" s="1" t="str">
        <f>IF(Foi="","",CONCATENATE(Foi," heures"))</f>
        <v/>
      </c>
      <c r="G51" s="1" t="s">
        <v>522</v>
      </c>
      <c r="H51" s="1" t="s">
        <v>1731</v>
      </c>
      <c r="I51" s="194" t="s">
        <v>2128</v>
      </c>
      <c r="J51" s="65" t="s">
        <v>2529</v>
      </c>
    </row>
    <row r="52" spans="1:10" ht="15" customHeight="1" x14ac:dyDescent="0.3">
      <c r="A52" s="65" t="s">
        <v>998</v>
      </c>
      <c r="B52" t="s">
        <v>1741</v>
      </c>
      <c r="C52" s="58" t="s">
        <v>1728</v>
      </c>
      <c r="D52" s="1">
        <v>7</v>
      </c>
      <c r="E52" s="1" t="s">
        <v>1740</v>
      </c>
      <c r="F52" s="1" t="s">
        <v>1742</v>
      </c>
      <c r="G52" s="1" t="s">
        <v>522</v>
      </c>
      <c r="H52" s="1" t="s">
        <v>1812</v>
      </c>
      <c r="I52" s="194" t="s">
        <v>2128</v>
      </c>
      <c r="J52" s="65" t="s">
        <v>1806</v>
      </c>
    </row>
    <row r="53" spans="1:10" ht="15" customHeight="1" x14ac:dyDescent="0.3">
      <c r="A53" s="65" t="s">
        <v>998</v>
      </c>
      <c r="B53" t="s">
        <v>1743</v>
      </c>
      <c r="C53" s="58" t="s">
        <v>1728</v>
      </c>
      <c r="D53" s="1">
        <v>5</v>
      </c>
      <c r="E53" s="1" t="s">
        <v>1802</v>
      </c>
      <c r="F53" s="1" t="s">
        <v>1803</v>
      </c>
      <c r="G53" s="1" t="s">
        <v>522</v>
      </c>
      <c r="H53" s="1" t="s">
        <v>1804</v>
      </c>
      <c r="I53" s="194" t="s">
        <v>2128</v>
      </c>
      <c r="J53" s="65" t="s">
        <v>1805</v>
      </c>
    </row>
    <row r="54" spans="1:10" ht="15" customHeight="1" x14ac:dyDescent="0.3">
      <c r="A54" s="65" t="s">
        <v>998</v>
      </c>
      <c r="B54" t="s">
        <v>1744</v>
      </c>
      <c r="C54" s="58" t="s">
        <v>1728</v>
      </c>
      <c r="D54" s="1" t="s">
        <v>550</v>
      </c>
      <c r="E54" s="1">
        <v>1</v>
      </c>
      <c r="F54" s="1" t="str">
        <f>IF(Foi="","",CONCATENATE(Foi," rounds"))</f>
        <v/>
      </c>
      <c r="G54" s="1" t="s">
        <v>522</v>
      </c>
      <c r="H54" s="1" t="str">
        <f>IF(Foi="","",CONCATENATE(Foi*100," m"))</f>
        <v/>
      </c>
      <c r="I54" s="194" t="s">
        <v>2129</v>
      </c>
      <c r="J54" s="65" t="s">
        <v>1807</v>
      </c>
    </row>
    <row r="55" spans="1:10" ht="15" customHeight="1" x14ac:dyDescent="0.3">
      <c r="A55" s="65" t="s">
        <v>998</v>
      </c>
      <c r="B55" t="s">
        <v>1745</v>
      </c>
      <c r="C55" s="58" t="s">
        <v>1728</v>
      </c>
      <c r="D55" s="1">
        <v>5</v>
      </c>
      <c r="E55" s="1" t="s">
        <v>1802</v>
      </c>
      <c r="F55" s="1" t="s">
        <v>2472</v>
      </c>
      <c r="G55" s="1" t="s">
        <v>522</v>
      </c>
      <c r="H55" s="1" t="str">
        <f>IF(Foi="","",CONCATENATE(Foi," miles"))</f>
        <v/>
      </c>
      <c r="I55" s="194" t="s">
        <v>2129</v>
      </c>
      <c r="J55" s="65" t="s">
        <v>1808</v>
      </c>
    </row>
    <row r="56" spans="1:10" ht="15" customHeight="1" x14ac:dyDescent="0.3">
      <c r="A56" s="65" t="s">
        <v>998</v>
      </c>
      <c r="B56" t="s">
        <v>1746</v>
      </c>
      <c r="C56" s="58" t="s">
        <v>1728</v>
      </c>
      <c r="D56" s="1">
        <v>3</v>
      </c>
      <c r="E56" s="1">
        <v>1</v>
      </c>
      <c r="F56" s="1" t="s">
        <v>1809</v>
      </c>
      <c r="G56" s="1" t="s">
        <v>522</v>
      </c>
      <c r="H56" s="1" t="str">
        <f>IF(Foi="","",CONCATENATE(Foi*5," m"))</f>
        <v/>
      </c>
      <c r="I56" s="194" t="s">
        <v>2130</v>
      </c>
      <c r="J56" s="65" t="s">
        <v>1810</v>
      </c>
    </row>
    <row r="57" spans="1:10" ht="15" customHeight="1" x14ac:dyDescent="0.3">
      <c r="A57" s="65" t="s">
        <v>998</v>
      </c>
      <c r="B57" t="s">
        <v>1747</v>
      </c>
      <c r="C57" s="58" t="s">
        <v>1728</v>
      </c>
      <c r="D57" s="1" t="s">
        <v>1811</v>
      </c>
      <c r="E57" s="1">
        <v>1</v>
      </c>
      <c r="F57" s="1" t="str">
        <f>IF(Foi="","",CONCATENATE(ROUNDUP(Foi/2,0)," rounds"))</f>
        <v/>
      </c>
      <c r="G57" s="1" t="s">
        <v>522</v>
      </c>
      <c r="H57" s="1" t="s">
        <v>1812</v>
      </c>
      <c r="I57" s="194" t="s">
        <v>2130</v>
      </c>
      <c r="J57" s="65" t="s">
        <v>1813</v>
      </c>
    </row>
    <row r="58" spans="1:10" ht="15" customHeight="1" x14ac:dyDescent="0.3">
      <c r="A58" s="65" t="s">
        <v>998</v>
      </c>
      <c r="B58" t="s">
        <v>1748</v>
      </c>
      <c r="C58" s="58" t="s">
        <v>1728</v>
      </c>
      <c r="D58" s="1">
        <v>5</v>
      </c>
      <c r="E58" s="1">
        <v>1</v>
      </c>
      <c r="F58" s="1" t="s">
        <v>1814</v>
      </c>
      <c r="G58" s="1" t="s">
        <v>522</v>
      </c>
      <c r="H58" s="1" t="s">
        <v>1815</v>
      </c>
      <c r="I58" s="194" t="s">
        <v>2131</v>
      </c>
      <c r="J58" s="65" t="str">
        <f>CONCATENATE("Affecte le Croyant et jusqu'à",Foi," personnes affectées d’un des effets suivant : +2 à tous les jets de Tripes, +2 aux jets de Combat ou ne pas tenir compte d’un niv.de pénalité de blessure. Un effet et un seul effet par Succès")</f>
        <v>Affecte le Croyant et jusqu'à personnes affectées d’un des effets suivant : +2 à tous les jets de Tripes, +2 aux jets de Combat ou ne pas tenir compte d’un niv.de pénalité de blessure. Un effet et un seul effet par Succès</v>
      </c>
    </row>
    <row r="59" spans="1:10" ht="15" customHeight="1" x14ac:dyDescent="0.3">
      <c r="A59" s="65" t="s">
        <v>998</v>
      </c>
      <c r="B59" t="s">
        <v>2498</v>
      </c>
      <c r="C59" s="58" t="s">
        <v>1728</v>
      </c>
      <c r="D59" s="1">
        <v>5</v>
      </c>
      <c r="E59" s="1">
        <v>2</v>
      </c>
      <c r="F59" s="1" t="str">
        <f>IF(Foi="","",CONCATENATE(Foi," jour(s)"))</f>
        <v/>
      </c>
      <c r="G59" s="1" t="s">
        <v>522</v>
      </c>
      <c r="H59" s="1" t="str">
        <f>IF(Foi="","",CONCATENATE(Foi," miles)"))</f>
        <v/>
      </c>
      <c r="I59" s="194" t="s">
        <v>2494</v>
      </c>
      <c r="J59" s="65" t="s">
        <v>2499</v>
      </c>
    </row>
    <row r="60" spans="1:10" ht="15" customHeight="1" x14ac:dyDescent="0.3">
      <c r="A60" s="65" t="s">
        <v>998</v>
      </c>
      <c r="B60" t="s">
        <v>1749</v>
      </c>
      <c r="C60" s="58" t="s">
        <v>1728</v>
      </c>
      <c r="D60" s="1">
        <v>7</v>
      </c>
      <c r="E60" s="1">
        <v>2</v>
      </c>
      <c r="F60" s="1" t="s">
        <v>960</v>
      </c>
      <c r="G60" s="1" t="s">
        <v>522</v>
      </c>
      <c r="H60" s="1" t="s">
        <v>1731</v>
      </c>
      <c r="I60" s="194" t="s">
        <v>2131</v>
      </c>
      <c r="J60" s="65" t="s">
        <v>1816</v>
      </c>
    </row>
    <row r="61" spans="1:10" ht="15" customHeight="1" x14ac:dyDescent="0.3">
      <c r="A61" s="65" t="s">
        <v>998</v>
      </c>
      <c r="B61" t="s">
        <v>1750</v>
      </c>
      <c r="C61" s="58" t="s">
        <v>1728</v>
      </c>
      <c r="D61" s="1">
        <v>1</v>
      </c>
      <c r="E61" s="1" t="s">
        <v>1817</v>
      </c>
      <c r="F61" s="1" t="str">
        <f>IF(Foi="","",CONCATENATE(Foi," mins"))</f>
        <v/>
      </c>
      <c r="G61" s="1" t="s">
        <v>522</v>
      </c>
      <c r="H61" s="1" t="s">
        <v>1818</v>
      </c>
      <c r="I61" s="194" t="s">
        <v>2131</v>
      </c>
      <c r="J61" s="65" t="s">
        <v>1819</v>
      </c>
    </row>
    <row r="62" spans="1:10" ht="15" customHeight="1" x14ac:dyDescent="0.3">
      <c r="A62" s="65" t="s">
        <v>998</v>
      </c>
      <c r="B62" t="s">
        <v>2481</v>
      </c>
      <c r="C62" s="58" t="s">
        <v>1728</v>
      </c>
      <c r="D62" s="1" t="s">
        <v>2482</v>
      </c>
      <c r="E62" s="1">
        <v>1</v>
      </c>
      <c r="F62" s="1" t="s">
        <v>960</v>
      </c>
      <c r="G62" s="1" t="s">
        <v>522</v>
      </c>
      <c r="H62" s="1" t="str">
        <f>IF(Foi="","",CONCATENATE(Foi*3," m"))</f>
        <v/>
      </c>
      <c r="I62" s="194" t="s">
        <v>2483</v>
      </c>
      <c r="J62" s="65" t="s">
        <v>2484</v>
      </c>
    </row>
    <row r="63" spans="1:10" ht="15" customHeight="1" x14ac:dyDescent="0.3">
      <c r="A63" s="65" t="s">
        <v>998</v>
      </c>
      <c r="B63" t="s">
        <v>2491</v>
      </c>
      <c r="C63" s="58" t="s">
        <v>1728</v>
      </c>
      <c r="D63" s="1">
        <v>5</v>
      </c>
      <c r="E63" s="1">
        <v>1</v>
      </c>
      <c r="F63" s="1" t="s">
        <v>1817</v>
      </c>
      <c r="G63" s="1" t="s">
        <v>522</v>
      </c>
      <c r="H63" s="1" t="s">
        <v>958</v>
      </c>
      <c r="I63" s="194" t="s">
        <v>2492</v>
      </c>
      <c r="J63" s="65" t="s">
        <v>2721</v>
      </c>
    </row>
    <row r="64" spans="1:10" ht="15" customHeight="1" x14ac:dyDescent="0.3">
      <c r="A64" s="65" t="s">
        <v>998</v>
      </c>
      <c r="B64" t="s">
        <v>1751</v>
      </c>
      <c r="C64" s="58" t="s">
        <v>1728</v>
      </c>
      <c r="D64" s="1">
        <v>5</v>
      </c>
      <c r="E64" s="1">
        <v>1</v>
      </c>
      <c r="F64" s="1" t="str">
        <f>IF(Foi="","",CONCATENATE(Foi," rounds"))</f>
        <v/>
      </c>
      <c r="G64" s="1" t="s">
        <v>522</v>
      </c>
      <c r="H64" s="1" t="s">
        <v>958</v>
      </c>
      <c r="I64" s="194" t="s">
        <v>2131</v>
      </c>
      <c r="J64" s="65" t="s">
        <v>1820</v>
      </c>
    </row>
    <row r="65" spans="1:10" ht="15" customHeight="1" x14ac:dyDescent="0.3">
      <c r="A65" s="65" t="s">
        <v>998</v>
      </c>
      <c r="B65" t="s">
        <v>1755</v>
      </c>
      <c r="C65" s="58" t="s">
        <v>1728</v>
      </c>
      <c r="D65" s="1">
        <v>7</v>
      </c>
      <c r="E65" s="1">
        <v>1</v>
      </c>
      <c r="F65" s="1" t="str">
        <f>IF(Foi="","",CONCATENATE(Foi*5," rounds"))</f>
        <v/>
      </c>
      <c r="G65" s="1" t="s">
        <v>522</v>
      </c>
      <c r="H65" s="1" t="s">
        <v>1731</v>
      </c>
      <c r="I65" s="194" t="s">
        <v>2132</v>
      </c>
      <c r="J65" s="65" t="s">
        <v>1821</v>
      </c>
    </row>
    <row r="66" spans="1:10" ht="15" customHeight="1" x14ac:dyDescent="0.3">
      <c r="A66" s="65" t="s">
        <v>998</v>
      </c>
      <c r="B66" t="s">
        <v>1756</v>
      </c>
      <c r="C66" s="58" t="s">
        <v>1728</v>
      </c>
      <c r="D66" s="1">
        <v>7</v>
      </c>
      <c r="E66" s="1">
        <v>1</v>
      </c>
      <c r="F66" s="1" t="str">
        <f>IF(Foi="","",CONCATENATE(Foi," rounds"))</f>
        <v/>
      </c>
      <c r="G66" s="1" t="s">
        <v>522</v>
      </c>
      <c r="H66" s="1" t="s">
        <v>958</v>
      </c>
      <c r="I66" s="194" t="s">
        <v>2133</v>
      </c>
      <c r="J66" s="65" t="s">
        <v>1831</v>
      </c>
    </row>
    <row r="67" spans="1:10" ht="15" customHeight="1" x14ac:dyDescent="0.3">
      <c r="A67" s="65" t="s">
        <v>998</v>
      </c>
      <c r="B67" t="s">
        <v>2478</v>
      </c>
      <c r="C67" s="58" t="s">
        <v>1728</v>
      </c>
      <c r="D67" s="1" t="s">
        <v>1811</v>
      </c>
      <c r="E67" s="1">
        <v>1</v>
      </c>
      <c r="F67" s="1" t="s">
        <v>960</v>
      </c>
      <c r="G67" s="1" t="s">
        <v>522</v>
      </c>
      <c r="H67" s="1" t="s">
        <v>1731</v>
      </c>
      <c r="I67" s="194" t="s">
        <v>2477</v>
      </c>
      <c r="J67" s="65" t="s">
        <v>2716</v>
      </c>
    </row>
    <row r="68" spans="1:10" ht="15" customHeight="1" x14ac:dyDescent="0.3">
      <c r="A68" s="65" t="s">
        <v>998</v>
      </c>
      <c r="B68" t="s">
        <v>1757</v>
      </c>
      <c r="C68" s="58" t="s">
        <v>1728</v>
      </c>
      <c r="D68" s="1" t="s">
        <v>550</v>
      </c>
      <c r="E68" s="1" t="s">
        <v>1817</v>
      </c>
      <c r="F68" s="1" t="s">
        <v>960</v>
      </c>
      <c r="G68" s="1" t="s">
        <v>522</v>
      </c>
      <c r="H68" s="1" t="s">
        <v>1812</v>
      </c>
      <c r="I68" s="194" t="s">
        <v>2134</v>
      </c>
      <c r="J68" s="65" t="s">
        <v>1832</v>
      </c>
    </row>
    <row r="69" spans="1:10" ht="15" customHeight="1" x14ac:dyDescent="0.3">
      <c r="A69" s="65" t="s">
        <v>998</v>
      </c>
      <c r="B69" t="s">
        <v>1758</v>
      </c>
      <c r="C69" s="58" t="s">
        <v>1728</v>
      </c>
      <c r="D69" s="1">
        <v>5</v>
      </c>
      <c r="E69" s="1">
        <v>1</v>
      </c>
      <c r="F69" s="1" t="s">
        <v>10</v>
      </c>
      <c r="G69" s="1" t="s">
        <v>522</v>
      </c>
      <c r="H69" s="1" t="s">
        <v>1804</v>
      </c>
      <c r="I69" s="194" t="s">
        <v>2134</v>
      </c>
      <c r="J69" s="65" t="s">
        <v>1833</v>
      </c>
    </row>
    <row r="70" spans="1:10" ht="15" customHeight="1" x14ac:dyDescent="0.3">
      <c r="A70" s="65" t="s">
        <v>998</v>
      </c>
      <c r="B70" t="s">
        <v>2505</v>
      </c>
      <c r="C70" s="58" t="s">
        <v>1728</v>
      </c>
      <c r="D70" s="1">
        <v>7</v>
      </c>
      <c r="E70" s="1">
        <v>1</v>
      </c>
      <c r="F70" s="1" t="s">
        <v>960</v>
      </c>
      <c r="G70" s="1" t="s">
        <v>522</v>
      </c>
      <c r="H70" s="1" t="str">
        <f>IF(Foi="","",CONCATENATE(Foi*10," m"))</f>
        <v/>
      </c>
      <c r="I70" s="194" t="s">
        <v>2501</v>
      </c>
      <c r="J70" s="65" t="str">
        <f>CONCATENATE("Change",Foi," litre(s) de n'importe quel liquide à portée en eau pure. Ce liquide consommé dans la minute qui suit sa converssion rends 1d6 pt de Souffle par niveau de succès obtenu lors de l'invocation")</f>
        <v>Change litre(s) de n'importe quel liquide à portée en eau pure. Ce liquide consommé dans la minute qui suit sa converssion rends 1d6 pt de Souffle par niveau de succès obtenu lors de l'invocation</v>
      </c>
    </row>
    <row r="71" spans="1:10" ht="15" customHeight="1" x14ac:dyDescent="0.3">
      <c r="A71" s="65" t="s">
        <v>998</v>
      </c>
      <c r="B71" t="s">
        <v>2506</v>
      </c>
      <c r="C71" s="58" t="s">
        <v>1728</v>
      </c>
      <c r="D71" s="1">
        <v>7</v>
      </c>
      <c r="E71" s="1">
        <v>2</v>
      </c>
      <c r="F71" s="1" t="str">
        <f>IF(Foi="","",CONCATENATE(Foi," heure(s)"))</f>
        <v/>
      </c>
      <c r="G71" s="1" t="s">
        <v>522</v>
      </c>
      <c r="H71" s="1" t="s">
        <v>1731</v>
      </c>
      <c r="I71" s="194" t="s">
        <v>2507</v>
      </c>
      <c r="J71" s="65" t="str">
        <f>CONCATENATE("Change",Foi," litre(s) de n'importe quel liquide en un liquide alcolisé. Ce liquide consommé demande un jet de Vigueur à 5 (+2 par niveau de succès) pour éviter de tomber inconscient")</f>
        <v>Change litre(s) de n'importe quel liquide en un liquide alcolisé. Ce liquide consommé demande un jet de Vigueur à 5 (+2 par niveau de succès) pour éviter de tomber inconscient</v>
      </c>
    </row>
    <row r="72" spans="1:10" ht="15" customHeight="1" x14ac:dyDescent="0.3">
      <c r="A72" s="65" t="s">
        <v>998</v>
      </c>
      <c r="B72" t="s">
        <v>1759</v>
      </c>
      <c r="C72" s="58" t="s">
        <v>1728</v>
      </c>
      <c r="D72" s="1">
        <v>7</v>
      </c>
      <c r="E72" s="1">
        <v>2</v>
      </c>
      <c r="F72" s="1" t="s">
        <v>10</v>
      </c>
      <c r="G72" s="1" t="s">
        <v>522</v>
      </c>
      <c r="H72" s="1" t="str">
        <f>IF(Foi="","",CONCATENATE(Foi*5," m"))</f>
        <v/>
      </c>
      <c r="I72" s="194" t="s">
        <v>2134</v>
      </c>
      <c r="J72" s="65" t="s">
        <v>1834</v>
      </c>
    </row>
    <row r="73" spans="1:10" ht="15" customHeight="1" x14ac:dyDescent="0.3">
      <c r="A73" s="65" t="s">
        <v>998</v>
      </c>
      <c r="B73" t="s">
        <v>1760</v>
      </c>
      <c r="C73" s="58" t="s">
        <v>1728</v>
      </c>
      <c r="D73" s="1" t="s">
        <v>1811</v>
      </c>
      <c r="E73" s="1" t="s">
        <v>1817</v>
      </c>
      <c r="F73" s="1" t="str">
        <f>IF(Foi="","",CONCATENATE(Foi," rounds"))</f>
        <v/>
      </c>
      <c r="G73" s="1" t="s">
        <v>522</v>
      </c>
      <c r="H73" s="1" t="s">
        <v>1835</v>
      </c>
      <c r="I73" s="194" t="s">
        <v>2135</v>
      </c>
      <c r="J73" s="65" t="s">
        <v>2600</v>
      </c>
    </row>
    <row r="74" spans="1:10" ht="15" customHeight="1" x14ac:dyDescent="0.3">
      <c r="A74" s="65" t="s">
        <v>998</v>
      </c>
      <c r="B74" t="s">
        <v>1761</v>
      </c>
      <c r="C74" s="58" t="s">
        <v>1728</v>
      </c>
      <c r="D74" s="1">
        <v>5</v>
      </c>
      <c r="E74" s="1">
        <v>1</v>
      </c>
      <c r="F74" s="1" t="s">
        <v>2472</v>
      </c>
      <c r="G74" s="1" t="s">
        <v>522</v>
      </c>
      <c r="H74" s="1" t="s">
        <v>1731</v>
      </c>
      <c r="I74" s="194" t="s">
        <v>2135</v>
      </c>
      <c r="J74" s="65" t="s">
        <v>1836</v>
      </c>
    </row>
    <row r="75" spans="1:10" ht="15" customHeight="1" x14ac:dyDescent="0.3">
      <c r="A75" s="65" t="s">
        <v>998</v>
      </c>
      <c r="B75" t="s">
        <v>2497</v>
      </c>
      <c r="C75" s="58" t="s">
        <v>1728</v>
      </c>
      <c r="D75" s="1" t="s">
        <v>2496</v>
      </c>
      <c r="E75" s="1">
        <v>2</v>
      </c>
      <c r="F75" s="1" t="s">
        <v>1814</v>
      </c>
      <c r="G75" s="1" t="s">
        <v>522</v>
      </c>
      <c r="H75" s="1" t="str">
        <f>IF(Foi="","",CONCATENATE(Foi*10," m"))</f>
        <v/>
      </c>
      <c r="I75" s="194" t="s">
        <v>2494</v>
      </c>
      <c r="J75" s="65" t="str">
        <f>CONCATENATE("Si le ND du jet est battu, permet d'éteindre instantanément un feu qui ne peut être rallumé que par un moyen extérieur que",Foi," round()s après le lancer du sort. La roche fantôme se réactive d'elle-même après 1 round" )</f>
        <v>Si le ND du jet est battu, permet d'éteindre instantanément un feu qui ne peut être rallumé que par un moyen extérieur que round()s après le lancer du sort. La roche fantôme se réactive d'elle-même après 1 round</v>
      </c>
    </row>
    <row r="76" spans="1:10" ht="15" customHeight="1" x14ac:dyDescent="0.3">
      <c r="A76" s="65" t="s">
        <v>998</v>
      </c>
      <c r="B76" t="s">
        <v>1762</v>
      </c>
      <c r="C76" s="58" t="s">
        <v>1728</v>
      </c>
      <c r="D76" s="1">
        <v>5</v>
      </c>
      <c r="E76" s="1">
        <v>1</v>
      </c>
      <c r="F76" s="1" t="s">
        <v>1817</v>
      </c>
      <c r="G76" s="1" t="s">
        <v>522</v>
      </c>
      <c r="H76" s="1" t="s">
        <v>1835</v>
      </c>
      <c r="I76" s="194" t="s">
        <v>2135</v>
      </c>
      <c r="J76" s="65" t="s">
        <v>2596</v>
      </c>
    </row>
    <row r="77" spans="1:10" ht="15" customHeight="1" x14ac:dyDescent="0.3">
      <c r="A77" s="65" t="s">
        <v>998</v>
      </c>
      <c r="B77" t="s">
        <v>1763</v>
      </c>
      <c r="C77" s="58" t="s">
        <v>1728</v>
      </c>
      <c r="D77" s="1">
        <v>5</v>
      </c>
      <c r="E77" s="1">
        <v>1</v>
      </c>
      <c r="F77" s="1" t="s">
        <v>1817</v>
      </c>
      <c r="G77" s="1" t="s">
        <v>522</v>
      </c>
      <c r="H77" s="1" t="s">
        <v>1731</v>
      </c>
      <c r="I77" s="194" t="s">
        <v>2135</v>
      </c>
      <c r="J77" s="65" t="s">
        <v>1837</v>
      </c>
    </row>
    <row r="78" spans="1:10" ht="15" customHeight="1" x14ac:dyDescent="0.3">
      <c r="A78" s="65" t="s">
        <v>998</v>
      </c>
      <c r="B78" t="s">
        <v>1764</v>
      </c>
      <c r="C78" s="58" t="s">
        <v>1728</v>
      </c>
      <c r="D78" s="1" t="s">
        <v>550</v>
      </c>
      <c r="E78" s="1" t="s">
        <v>1822</v>
      </c>
      <c r="F78" s="1" t="s">
        <v>2472</v>
      </c>
      <c r="G78" s="1" t="s">
        <v>522</v>
      </c>
      <c r="H78" s="1" t="s">
        <v>1838</v>
      </c>
      <c r="I78" s="194" t="s">
        <v>2136</v>
      </c>
      <c r="J78" s="65" t="s">
        <v>1839</v>
      </c>
    </row>
    <row r="79" spans="1:10" ht="15" customHeight="1" x14ac:dyDescent="0.3">
      <c r="A79" s="65" t="s">
        <v>998</v>
      </c>
      <c r="B79" t="s">
        <v>1765</v>
      </c>
      <c r="C79" s="58" t="s">
        <v>1728</v>
      </c>
      <c r="D79" s="1">
        <v>5</v>
      </c>
      <c r="E79" s="1" t="s">
        <v>1802</v>
      </c>
      <c r="F79" s="1" t="s">
        <v>2472</v>
      </c>
      <c r="G79" s="1" t="s">
        <v>522</v>
      </c>
      <c r="H79" s="1" t="s">
        <v>1838</v>
      </c>
      <c r="I79" s="194" t="s">
        <v>2137</v>
      </c>
      <c r="J79" s="65" t="s">
        <v>1840</v>
      </c>
    </row>
    <row r="80" spans="1:10" ht="15" customHeight="1" x14ac:dyDescent="0.3">
      <c r="A80" s="65" t="s">
        <v>998</v>
      </c>
      <c r="B80" t="s">
        <v>1766</v>
      </c>
      <c r="C80" s="58" t="s">
        <v>1728</v>
      </c>
      <c r="D80" s="1">
        <v>5</v>
      </c>
      <c r="E80" s="1" t="s">
        <v>1802</v>
      </c>
      <c r="F80" s="1" t="s">
        <v>2472</v>
      </c>
      <c r="G80" s="1" t="s">
        <v>522</v>
      </c>
      <c r="H80" s="1" t="s">
        <v>1731</v>
      </c>
      <c r="I80" s="194" t="s">
        <v>2137</v>
      </c>
      <c r="J80" s="65" t="s">
        <v>1841</v>
      </c>
    </row>
    <row r="81" spans="1:10" ht="15" customHeight="1" x14ac:dyDescent="0.3">
      <c r="A81" s="65" t="s">
        <v>998</v>
      </c>
      <c r="B81" t="s">
        <v>2500</v>
      </c>
      <c r="C81" s="58" t="s">
        <v>1728</v>
      </c>
      <c r="D81" s="1">
        <v>7</v>
      </c>
      <c r="E81" s="1" t="s">
        <v>981</v>
      </c>
      <c r="F81" s="1" t="s">
        <v>960</v>
      </c>
      <c r="G81" s="1" t="s">
        <v>522</v>
      </c>
      <c r="H81" s="1" t="str">
        <f>IF(Foi="","",CONCATENATE(Foi*3," m"))</f>
        <v/>
      </c>
      <c r="I81" s="194" t="s">
        <v>2501</v>
      </c>
      <c r="J81" s="65" t="s">
        <v>2502</v>
      </c>
    </row>
    <row r="82" spans="1:10" ht="15" customHeight="1" x14ac:dyDescent="0.3">
      <c r="A82" s="65" t="s">
        <v>998</v>
      </c>
      <c r="B82" t="s">
        <v>1767</v>
      </c>
      <c r="C82" s="58" t="s">
        <v>1728</v>
      </c>
      <c r="D82" s="1">
        <v>5</v>
      </c>
      <c r="E82" s="1">
        <v>1</v>
      </c>
      <c r="F82" s="1" t="s">
        <v>1817</v>
      </c>
      <c r="G82" s="1" t="s">
        <v>522</v>
      </c>
      <c r="H82" s="1" t="s">
        <v>958</v>
      </c>
      <c r="I82" s="194" t="s">
        <v>2138</v>
      </c>
      <c r="J82" s="65" t="s">
        <v>1823</v>
      </c>
    </row>
    <row r="83" spans="1:10" ht="15" customHeight="1" x14ac:dyDescent="0.3">
      <c r="A83" s="65" t="s">
        <v>998</v>
      </c>
      <c r="B83" t="s">
        <v>1768</v>
      </c>
      <c r="C83" s="58" t="s">
        <v>1728</v>
      </c>
      <c r="D83" s="1">
        <v>7</v>
      </c>
      <c r="E83" s="1" t="s">
        <v>1802</v>
      </c>
      <c r="F83" s="1" t="str">
        <f>IF(Foi="","",CONCATENATE(Foi," heures"))</f>
        <v/>
      </c>
      <c r="G83" s="1" t="s">
        <v>522</v>
      </c>
      <c r="H83" s="1" t="s">
        <v>1731</v>
      </c>
      <c r="I83" s="194" t="s">
        <v>2139</v>
      </c>
      <c r="J83" s="65" t="s">
        <v>1842</v>
      </c>
    </row>
    <row r="84" spans="1:10" ht="15" customHeight="1" x14ac:dyDescent="0.3">
      <c r="A84" s="65" t="s">
        <v>998</v>
      </c>
      <c r="B84" t="s">
        <v>1769</v>
      </c>
      <c r="C84" s="58" t="s">
        <v>1728</v>
      </c>
      <c r="D84" s="1">
        <v>7</v>
      </c>
      <c r="E84" s="1" t="s">
        <v>1802</v>
      </c>
      <c r="F84" s="1" t="s">
        <v>960</v>
      </c>
      <c r="G84" s="1" t="s">
        <v>522</v>
      </c>
      <c r="H84" s="1" t="str">
        <f>IF(Foi="","",CONCATENATE(Foi*1.5," m"))</f>
        <v/>
      </c>
      <c r="I84" s="194" t="s">
        <v>2139</v>
      </c>
      <c r="J84" s="65" t="s">
        <v>1843</v>
      </c>
    </row>
    <row r="85" spans="1:10" ht="15" customHeight="1" x14ac:dyDescent="0.3">
      <c r="A85" s="65" t="s">
        <v>998</v>
      </c>
      <c r="B85" t="s">
        <v>1770</v>
      </c>
      <c r="C85" s="58" t="s">
        <v>1728</v>
      </c>
      <c r="D85" s="1">
        <v>5</v>
      </c>
      <c r="E85" s="1" t="s">
        <v>1740</v>
      </c>
      <c r="F85" s="1" t="s">
        <v>1814</v>
      </c>
      <c r="G85" s="1" t="s">
        <v>522</v>
      </c>
      <c r="H85" s="1" t="s">
        <v>1814</v>
      </c>
      <c r="I85" s="194" t="s">
        <v>2139</v>
      </c>
      <c r="J85" s="65" t="s">
        <v>1844</v>
      </c>
    </row>
    <row r="86" spans="1:10" ht="15" customHeight="1" x14ac:dyDescent="0.3">
      <c r="A86" s="65" t="s">
        <v>998</v>
      </c>
      <c r="B86" t="s">
        <v>269</v>
      </c>
      <c r="C86" s="58" t="s">
        <v>1728</v>
      </c>
      <c r="D86" s="1">
        <v>5</v>
      </c>
      <c r="E86" s="1">
        <v>1</v>
      </c>
      <c r="F86" s="1" t="s">
        <v>10</v>
      </c>
      <c r="G86" s="1" t="s">
        <v>522</v>
      </c>
      <c r="H86" s="1" t="s">
        <v>958</v>
      </c>
      <c r="I86" s="194" t="s">
        <v>2140</v>
      </c>
      <c r="J86" s="65" t="s">
        <v>1845</v>
      </c>
    </row>
    <row r="87" spans="1:10" ht="15" customHeight="1" x14ac:dyDescent="0.3">
      <c r="A87" s="65" t="s">
        <v>998</v>
      </c>
      <c r="B87" t="s">
        <v>1771</v>
      </c>
      <c r="C87" s="58" t="s">
        <v>1728</v>
      </c>
      <c r="D87" s="1" t="s">
        <v>550</v>
      </c>
      <c r="E87" s="1" t="s">
        <v>1802</v>
      </c>
      <c r="F87" s="1" t="s">
        <v>2472</v>
      </c>
      <c r="G87" s="1" t="s">
        <v>522</v>
      </c>
      <c r="H87" s="1" t="s">
        <v>1731</v>
      </c>
      <c r="I87" s="194" t="s">
        <v>2141</v>
      </c>
      <c r="J87" s="65" t="s">
        <v>1824</v>
      </c>
    </row>
    <row r="88" spans="1:10" ht="15" customHeight="1" x14ac:dyDescent="0.3">
      <c r="A88" s="65" t="s">
        <v>998</v>
      </c>
      <c r="B88" t="s">
        <v>1772</v>
      </c>
      <c r="C88" s="58" t="s">
        <v>1728</v>
      </c>
      <c r="D88" s="1">
        <v>5</v>
      </c>
      <c r="E88" s="1" t="s">
        <v>1802</v>
      </c>
      <c r="F88" s="1" t="s">
        <v>1814</v>
      </c>
      <c r="G88" s="1" t="s">
        <v>522</v>
      </c>
      <c r="H88" s="1" t="s">
        <v>1814</v>
      </c>
      <c r="I88" s="194" t="s">
        <v>2142</v>
      </c>
      <c r="J88" s="65" t="s">
        <v>1846</v>
      </c>
    </row>
    <row r="89" spans="1:10" ht="15" customHeight="1" x14ac:dyDescent="0.3">
      <c r="A89" s="65" t="s">
        <v>998</v>
      </c>
      <c r="B89" t="s">
        <v>1773</v>
      </c>
      <c r="C89" s="58" t="s">
        <v>1728</v>
      </c>
      <c r="D89" s="1">
        <v>7</v>
      </c>
      <c r="E89" s="1">
        <v>1</v>
      </c>
      <c r="F89" s="1" t="s">
        <v>1817</v>
      </c>
      <c r="G89" s="1" t="s">
        <v>522</v>
      </c>
      <c r="H89" s="1" t="str">
        <f>IF(Foi="","",CONCATENATE(Foi*10," m"))</f>
        <v/>
      </c>
      <c r="I89" s="194" t="s">
        <v>2143</v>
      </c>
      <c r="J89" s="65" t="s">
        <v>1847</v>
      </c>
    </row>
    <row r="90" spans="1:10" ht="15" customHeight="1" x14ac:dyDescent="0.3">
      <c r="A90" s="65" t="s">
        <v>998</v>
      </c>
      <c r="B90" t="s">
        <v>1774</v>
      </c>
      <c r="C90" s="58" t="s">
        <v>1728</v>
      </c>
      <c r="D90" s="1" t="s">
        <v>550</v>
      </c>
      <c r="E90" s="1" t="s">
        <v>1825</v>
      </c>
      <c r="F90" s="1" t="s">
        <v>960</v>
      </c>
      <c r="G90" s="1" t="s">
        <v>522</v>
      </c>
      <c r="H90" s="1" t="str">
        <f>IF(Foi="","",CONCATENATE(Foi*5," m"))</f>
        <v/>
      </c>
      <c r="I90" s="194" t="s">
        <v>2144</v>
      </c>
      <c r="J90" s="65" t="s">
        <v>1848</v>
      </c>
    </row>
    <row r="91" spans="1:10" ht="15" customHeight="1" x14ac:dyDescent="0.3">
      <c r="A91" s="65" t="s">
        <v>998</v>
      </c>
      <c r="B91" t="s">
        <v>1775</v>
      </c>
      <c r="C91" s="58" t="s">
        <v>1728</v>
      </c>
      <c r="D91" s="1">
        <v>5</v>
      </c>
      <c r="E91" s="1">
        <v>1</v>
      </c>
      <c r="F91" s="1" t="s">
        <v>960</v>
      </c>
      <c r="G91" s="1" t="s">
        <v>522</v>
      </c>
      <c r="H91" s="1" t="s">
        <v>958</v>
      </c>
      <c r="I91" s="194" t="s">
        <v>2145</v>
      </c>
      <c r="J91" s="65" t="s">
        <v>1826</v>
      </c>
    </row>
    <row r="92" spans="1:10" ht="15" customHeight="1" x14ac:dyDescent="0.3">
      <c r="A92" s="65" t="s">
        <v>998</v>
      </c>
      <c r="B92" t="s">
        <v>2485</v>
      </c>
      <c r="C92" s="58" t="s">
        <v>1728</v>
      </c>
      <c r="D92" s="1">
        <v>5</v>
      </c>
      <c r="E92" s="1">
        <v>1</v>
      </c>
      <c r="F92" s="1" t="str">
        <f>IF(Foi="","",CONCATENATE(Foi," jour(s)"))</f>
        <v/>
      </c>
      <c r="G92" s="1" t="s">
        <v>522</v>
      </c>
      <c r="H92" s="1" t="s">
        <v>958</v>
      </c>
      <c r="I92" s="194" t="s">
        <v>2483</v>
      </c>
      <c r="J92" s="65" t="s">
        <v>2723</v>
      </c>
    </row>
    <row r="93" spans="1:10" ht="15" customHeight="1" x14ac:dyDescent="0.3">
      <c r="A93" s="65" t="s">
        <v>998</v>
      </c>
      <c r="B93" t="s">
        <v>2489</v>
      </c>
      <c r="C93" s="58" t="s">
        <v>1728</v>
      </c>
      <c r="D93" s="1" t="s">
        <v>550</v>
      </c>
      <c r="E93" s="1">
        <v>1</v>
      </c>
      <c r="F93" s="1" t="str">
        <f>IF(Foi="","",CONCATENATE(Foi," round(s)"))</f>
        <v/>
      </c>
      <c r="G93" s="1" t="s">
        <v>522</v>
      </c>
      <c r="H93" s="1" t="str">
        <f>IF(Foi="","",CONCATENATE(Foi*5," m"))</f>
        <v/>
      </c>
      <c r="I93" s="194" t="s">
        <v>2483</v>
      </c>
      <c r="J93" s="65" t="s">
        <v>2490</v>
      </c>
    </row>
    <row r="94" spans="1:10" ht="15" customHeight="1" x14ac:dyDescent="0.3">
      <c r="A94" s="65" t="s">
        <v>998</v>
      </c>
      <c r="B94" t="s">
        <v>1776</v>
      </c>
      <c r="C94" s="58" t="s">
        <v>1728</v>
      </c>
      <c r="D94" s="1">
        <v>5</v>
      </c>
      <c r="E94" s="1">
        <v>1</v>
      </c>
      <c r="F94" s="1" t="s">
        <v>2472</v>
      </c>
      <c r="G94" s="1" t="s">
        <v>522</v>
      </c>
      <c r="H94" s="1" t="s">
        <v>958</v>
      </c>
      <c r="I94" s="194" t="s">
        <v>2146</v>
      </c>
      <c r="J94" s="65" t="s">
        <v>1827</v>
      </c>
    </row>
    <row r="95" spans="1:10" ht="15" customHeight="1" x14ac:dyDescent="0.3">
      <c r="A95" s="65" t="s">
        <v>998</v>
      </c>
      <c r="B95" t="s">
        <v>1777</v>
      </c>
      <c r="C95" s="58" t="s">
        <v>1728</v>
      </c>
      <c r="D95" s="1">
        <v>7</v>
      </c>
      <c r="E95" s="1">
        <v>1</v>
      </c>
      <c r="F95" s="1" t="str">
        <f>IF(Foi="","",CONCATENATE(Foi," mins"))</f>
        <v/>
      </c>
      <c r="G95" s="1" t="s">
        <v>522</v>
      </c>
      <c r="H95" s="1" t="s">
        <v>958</v>
      </c>
      <c r="I95" s="194" t="s">
        <v>2147</v>
      </c>
      <c r="J95" s="65" t="s">
        <v>1849</v>
      </c>
    </row>
    <row r="96" spans="1:10" ht="15" customHeight="1" x14ac:dyDescent="0.3">
      <c r="A96" s="65" t="s">
        <v>998</v>
      </c>
      <c r="B96" t="s">
        <v>2503</v>
      </c>
      <c r="C96" s="58" t="s">
        <v>1728</v>
      </c>
      <c r="D96" s="1">
        <v>7</v>
      </c>
      <c r="E96" s="1" t="s">
        <v>1802</v>
      </c>
      <c r="F96" s="1" t="str">
        <f>IF(Foi="","",CONCATENATE(Foi," heure(s)"))</f>
        <v/>
      </c>
      <c r="G96" s="1" t="s">
        <v>522</v>
      </c>
      <c r="H96" s="1" t="s">
        <v>958</v>
      </c>
      <c r="I96" s="194" t="s">
        <v>2501</v>
      </c>
      <c r="J96" s="65" t="s">
        <v>2504</v>
      </c>
    </row>
    <row r="97" spans="1:10" ht="15" customHeight="1" x14ac:dyDescent="0.3">
      <c r="A97" s="65" t="s">
        <v>998</v>
      </c>
      <c r="B97" t="s">
        <v>1778</v>
      </c>
      <c r="C97" s="58" t="s">
        <v>1728</v>
      </c>
      <c r="D97" s="1">
        <v>7</v>
      </c>
      <c r="E97" s="1">
        <v>2</v>
      </c>
      <c r="F97" s="1" t="s">
        <v>10</v>
      </c>
      <c r="G97" s="1" t="s">
        <v>522</v>
      </c>
      <c r="H97" s="1" t="s">
        <v>958</v>
      </c>
      <c r="I97" s="194" t="s">
        <v>2147</v>
      </c>
      <c r="J97" s="65" t="s">
        <v>1850</v>
      </c>
    </row>
    <row r="98" spans="1:10" ht="15" customHeight="1" x14ac:dyDescent="0.3">
      <c r="A98" s="65" t="s">
        <v>998</v>
      </c>
      <c r="B98" t="s">
        <v>2488</v>
      </c>
      <c r="C98" s="58" t="s">
        <v>1728</v>
      </c>
      <c r="D98" s="1">
        <v>5</v>
      </c>
      <c r="E98" s="1">
        <v>1</v>
      </c>
      <c r="F98" s="1" t="str">
        <f>IF(Foi="","",CONCATENATE(Foi," rounds"))</f>
        <v/>
      </c>
      <c r="G98" s="1" t="s">
        <v>522</v>
      </c>
      <c r="H98" s="1" t="s">
        <v>1731</v>
      </c>
      <c r="I98" s="194" t="s">
        <v>2483</v>
      </c>
      <c r="J98" s="65" t="s">
        <v>2487</v>
      </c>
    </row>
    <row r="99" spans="1:10" ht="15" customHeight="1" x14ac:dyDescent="0.3">
      <c r="A99" s="65" t="s">
        <v>998</v>
      </c>
      <c r="B99" t="s">
        <v>1779</v>
      </c>
      <c r="C99" s="58" t="s">
        <v>1728</v>
      </c>
      <c r="D99" s="1">
        <v>5</v>
      </c>
      <c r="E99" s="1">
        <v>1</v>
      </c>
      <c r="F99" s="1" t="s">
        <v>10</v>
      </c>
      <c r="G99" s="1" t="s">
        <v>522</v>
      </c>
      <c r="H99" s="1" t="s">
        <v>1814</v>
      </c>
      <c r="I99" s="194" t="s">
        <v>2147</v>
      </c>
      <c r="J99" s="65" t="s">
        <v>2486</v>
      </c>
    </row>
    <row r="100" spans="1:10" ht="15" customHeight="1" x14ac:dyDescent="0.3">
      <c r="A100" s="65" t="s">
        <v>998</v>
      </c>
      <c r="B100" t="s">
        <v>1780</v>
      </c>
      <c r="C100" s="58" t="s">
        <v>1728</v>
      </c>
      <c r="D100" s="1">
        <v>5</v>
      </c>
      <c r="E100" s="1" t="s">
        <v>1825</v>
      </c>
      <c r="F100" s="1" t="s">
        <v>2472</v>
      </c>
      <c r="G100" s="1" t="s">
        <v>522</v>
      </c>
      <c r="H100" s="1" t="s">
        <v>1804</v>
      </c>
      <c r="I100" s="194" t="s">
        <v>2148</v>
      </c>
      <c r="J100" s="65" t="s">
        <v>1851</v>
      </c>
    </row>
    <row r="101" spans="1:10" ht="15" customHeight="1" x14ac:dyDescent="0.3">
      <c r="A101" s="65" t="s">
        <v>998</v>
      </c>
      <c r="B101" t="s">
        <v>1781</v>
      </c>
      <c r="C101" s="58" t="s">
        <v>1728</v>
      </c>
      <c r="D101" s="1" t="s">
        <v>1811</v>
      </c>
      <c r="E101" s="1">
        <v>1</v>
      </c>
      <c r="F101" s="1" t="s">
        <v>1817</v>
      </c>
      <c r="G101" s="1" t="s">
        <v>522</v>
      </c>
      <c r="H101" s="1" t="str">
        <f>IF(Foi="","",CONCATENATE(Foi*3," m"))</f>
        <v/>
      </c>
      <c r="I101" s="194" t="s">
        <v>2148</v>
      </c>
      <c r="J101" s="65" t="s">
        <v>1852</v>
      </c>
    </row>
    <row r="102" spans="1:10" ht="15" customHeight="1" x14ac:dyDescent="0.3">
      <c r="A102" s="65" t="s">
        <v>998</v>
      </c>
      <c r="B102" t="s">
        <v>1782</v>
      </c>
      <c r="C102" s="58" t="s">
        <v>1728</v>
      </c>
      <c r="D102" s="1">
        <v>5</v>
      </c>
      <c r="E102" s="1">
        <v>1</v>
      </c>
      <c r="F102" s="1" t="str">
        <f>IF(Foi="","",CONCATENATE(Foi*5," rounds"))</f>
        <v/>
      </c>
      <c r="G102" s="1" t="s">
        <v>522</v>
      </c>
      <c r="H102" s="1" t="s">
        <v>958</v>
      </c>
      <c r="I102" s="194" t="s">
        <v>2149</v>
      </c>
      <c r="J102" s="65" t="s">
        <v>1853</v>
      </c>
    </row>
    <row r="103" spans="1:10" ht="15" customHeight="1" x14ac:dyDescent="0.3">
      <c r="A103" s="65" t="s">
        <v>998</v>
      </c>
      <c r="B103" t="s">
        <v>1783</v>
      </c>
      <c r="C103" s="58" t="s">
        <v>1728</v>
      </c>
      <c r="D103" s="1" t="s">
        <v>1811</v>
      </c>
      <c r="E103" s="1" t="s">
        <v>1802</v>
      </c>
      <c r="F103" s="1" t="str">
        <f>IF(Foi="","",CONCATENATE(Foi*5," mins"))</f>
        <v/>
      </c>
      <c r="G103" s="1" t="s">
        <v>522</v>
      </c>
      <c r="H103" s="1" t="s">
        <v>1828</v>
      </c>
      <c r="I103" s="194" t="s">
        <v>2149</v>
      </c>
      <c r="J103" s="65" t="s">
        <v>1854</v>
      </c>
    </row>
    <row r="104" spans="1:10" ht="15" customHeight="1" x14ac:dyDescent="0.3">
      <c r="A104" s="65" t="s">
        <v>998</v>
      </c>
      <c r="B104" t="s">
        <v>2473</v>
      </c>
      <c r="C104" s="58" t="s">
        <v>1728</v>
      </c>
      <c r="D104" s="1">
        <v>5</v>
      </c>
      <c r="E104" s="1">
        <v>2</v>
      </c>
      <c r="F104" s="1" t="str">
        <f>IF(Foi="","",CONCATENATE(Foi*1," mins"))</f>
        <v/>
      </c>
      <c r="G104" s="1" t="s">
        <v>522</v>
      </c>
      <c r="H104" s="1" t="s">
        <v>1731</v>
      </c>
      <c r="I104" s="194" t="s">
        <v>2474</v>
      </c>
      <c r="J104" s="65" t="s">
        <v>2475</v>
      </c>
    </row>
    <row r="105" spans="1:10" ht="15" customHeight="1" x14ac:dyDescent="0.3">
      <c r="A105" s="65" t="s">
        <v>998</v>
      </c>
      <c r="B105" t="s">
        <v>1784</v>
      </c>
      <c r="C105" s="58" t="s">
        <v>1728</v>
      </c>
      <c r="D105" s="1">
        <v>7</v>
      </c>
      <c r="E105" s="1" t="s">
        <v>1829</v>
      </c>
      <c r="F105" s="1" t="s">
        <v>1814</v>
      </c>
      <c r="G105" s="1" t="s">
        <v>522</v>
      </c>
      <c r="H105" s="1" t="s">
        <v>1814</v>
      </c>
      <c r="I105" s="194" t="s">
        <v>2149</v>
      </c>
      <c r="J105" s="65" t="s">
        <v>1855</v>
      </c>
    </row>
    <row r="106" spans="1:10" ht="15" customHeight="1" x14ac:dyDescent="0.3">
      <c r="A106" s="65" t="s">
        <v>998</v>
      </c>
      <c r="B106" t="s">
        <v>1785</v>
      </c>
      <c r="C106" s="58" t="s">
        <v>1728</v>
      </c>
      <c r="D106" s="1" t="s">
        <v>550</v>
      </c>
      <c r="E106" s="1" t="s">
        <v>1802</v>
      </c>
      <c r="F106" s="1" t="s">
        <v>2472</v>
      </c>
      <c r="G106" s="1" t="s">
        <v>522</v>
      </c>
      <c r="H106" s="1" t="s">
        <v>1731</v>
      </c>
      <c r="I106" s="194" t="s">
        <v>2150</v>
      </c>
      <c r="J106" s="65" t="s">
        <v>1856</v>
      </c>
    </row>
    <row r="107" spans="1:10" ht="15" customHeight="1" x14ac:dyDescent="0.3">
      <c r="A107" s="65" t="s">
        <v>998</v>
      </c>
      <c r="B107" t="s">
        <v>1786</v>
      </c>
      <c r="C107" s="58" t="s">
        <v>1728</v>
      </c>
      <c r="D107" s="1" t="s">
        <v>1811</v>
      </c>
      <c r="E107" s="1" t="s">
        <v>1802</v>
      </c>
      <c r="F107" s="1" t="str">
        <f>IF(Foi="","",CONCATENATE(Foi," jours"))</f>
        <v/>
      </c>
      <c r="G107" s="1" t="s">
        <v>522</v>
      </c>
      <c r="H107" s="1" t="s">
        <v>1812</v>
      </c>
      <c r="I107" s="194" t="s">
        <v>2150</v>
      </c>
      <c r="J107" s="65" t="s">
        <v>1857</v>
      </c>
    </row>
    <row r="108" spans="1:10" ht="15" customHeight="1" x14ac:dyDescent="0.3">
      <c r="A108" s="65" t="s">
        <v>998</v>
      </c>
      <c r="B108" t="s">
        <v>2493</v>
      </c>
      <c r="C108" s="58" t="s">
        <v>1728</v>
      </c>
      <c r="D108" s="1">
        <v>7</v>
      </c>
      <c r="E108" s="1">
        <v>1</v>
      </c>
      <c r="F108" s="1" t="str">
        <f>IF(Foi="","",CONCATENATE(Foi," rounds"))</f>
        <v/>
      </c>
      <c r="G108" s="1" t="s">
        <v>522</v>
      </c>
      <c r="H108" s="1" t="s">
        <v>958</v>
      </c>
      <c r="I108" s="194" t="s">
        <v>2492</v>
      </c>
      <c r="J108" s="65" t="s">
        <v>2717</v>
      </c>
    </row>
    <row r="109" spans="1:10" ht="15" customHeight="1" x14ac:dyDescent="0.3">
      <c r="A109" s="65" t="s">
        <v>998</v>
      </c>
      <c r="B109" t="s">
        <v>2480</v>
      </c>
      <c r="C109" s="58" t="s">
        <v>1728</v>
      </c>
      <c r="D109" s="1">
        <v>7</v>
      </c>
      <c r="E109" s="1">
        <v>1</v>
      </c>
      <c r="F109" s="1" t="str">
        <f>IF(Foi="","",CONCATENATE(Foi," rounds"))</f>
        <v/>
      </c>
      <c r="G109" s="1" t="s">
        <v>522</v>
      </c>
      <c r="H109" s="1" t="str">
        <f>IF(Foi="","",CONCATENATE(Foi*3," m"))</f>
        <v/>
      </c>
      <c r="I109" s="194" t="s">
        <v>2477</v>
      </c>
      <c r="J109" s="65" t="s">
        <v>2479</v>
      </c>
    </row>
    <row r="110" spans="1:10" ht="15" customHeight="1" x14ac:dyDescent="0.3">
      <c r="A110" s="65" t="s">
        <v>998</v>
      </c>
      <c r="B110" t="s">
        <v>2495</v>
      </c>
      <c r="C110" s="58" t="s">
        <v>1728</v>
      </c>
      <c r="D110" s="1">
        <v>7</v>
      </c>
      <c r="E110" s="1">
        <v>2</v>
      </c>
      <c r="F110" s="1" t="str">
        <f>IF(Foi="","",CONCATENATE(Foi," rounds"))</f>
        <v/>
      </c>
      <c r="G110" s="1" t="s">
        <v>522</v>
      </c>
      <c r="H110" s="1" t="str">
        <f>IF(Foi="","",CONCATENATE(Foi*10," m"))</f>
        <v/>
      </c>
      <c r="I110" s="194" t="s">
        <v>2492</v>
      </c>
      <c r="J110" s="65" t="str">
        <f>CONCATENATE("Chaque personne à portée (de la même confession) peut sacrifier une carte au moment où ce sort est lancé. (Max",Foi," carte(s)). Donne un bonus de +1 pour chaque carte à une action spécifiée lors du lancer de ce sort")</f>
        <v>Chaque personne à portée (de la même confession) peut sacrifier une carte au moment où ce sort est lancé. (Max carte(s)). Donne un bonus de +1 pour chaque carte à une action spécifiée lors du lancer de ce sort</v>
      </c>
    </row>
    <row r="111" spans="1:10" ht="15" customHeight="1" x14ac:dyDescent="0.3">
      <c r="A111" s="65" t="s">
        <v>998</v>
      </c>
      <c r="B111" t="s">
        <v>1555</v>
      </c>
      <c r="C111" s="58" t="s">
        <v>1728</v>
      </c>
      <c r="D111" s="1" t="s">
        <v>1811</v>
      </c>
      <c r="E111" s="1">
        <v>1</v>
      </c>
      <c r="F111" s="1" t="s">
        <v>1817</v>
      </c>
      <c r="G111" s="1" t="s">
        <v>522</v>
      </c>
      <c r="H111" s="1" t="s">
        <v>958</v>
      </c>
      <c r="I111" s="194" t="s">
        <v>2151</v>
      </c>
      <c r="J111" s="65" t="s">
        <v>2533</v>
      </c>
    </row>
    <row r="112" spans="1:10" ht="15" customHeight="1" x14ac:dyDescent="0.3">
      <c r="A112" s="65" t="s">
        <v>998</v>
      </c>
      <c r="B112" t="s">
        <v>1787</v>
      </c>
      <c r="C112" s="58" t="s">
        <v>1728</v>
      </c>
      <c r="D112" s="1">
        <v>5</v>
      </c>
      <c r="E112" s="1">
        <v>1</v>
      </c>
      <c r="F112" s="1" t="s">
        <v>2472</v>
      </c>
      <c r="G112" s="1" t="s">
        <v>522</v>
      </c>
      <c r="H112" s="1" t="s">
        <v>1731</v>
      </c>
      <c r="I112" s="194" t="s">
        <v>2152</v>
      </c>
      <c r="J112" s="65" t="str">
        <f>CONCATENATE("Le Croyant peut purifier l’équivalent d’un repas (pour ",Foi," personne(s) ou animal(aux))")</f>
        <v>Le Croyant peut purifier l’équivalent d’un repas (pour  personne(s) ou animal(aux))</v>
      </c>
    </row>
    <row r="113" spans="1:10" ht="15" customHeight="1" x14ac:dyDescent="0.3">
      <c r="A113" s="65" t="s">
        <v>998</v>
      </c>
      <c r="B113" t="s">
        <v>1788</v>
      </c>
      <c r="C113" s="58" t="s">
        <v>1728</v>
      </c>
      <c r="D113" s="1" t="s">
        <v>550</v>
      </c>
      <c r="E113" s="1" t="s">
        <v>1830</v>
      </c>
      <c r="F113" s="1" t="s">
        <v>2472</v>
      </c>
      <c r="G113" s="1" t="s">
        <v>522</v>
      </c>
      <c r="H113" s="1" t="s">
        <v>1731</v>
      </c>
      <c r="I113" s="194" t="s">
        <v>2153</v>
      </c>
      <c r="J113" s="65" t="s">
        <v>1858</v>
      </c>
    </row>
    <row r="114" spans="1:10" ht="15" customHeight="1" x14ac:dyDescent="0.3">
      <c r="A114" s="65" t="s">
        <v>998</v>
      </c>
      <c r="B114" t="s">
        <v>1789</v>
      </c>
      <c r="C114" s="58" t="s">
        <v>1728</v>
      </c>
      <c r="D114" s="1" t="s">
        <v>1811</v>
      </c>
      <c r="E114" s="1">
        <v>1</v>
      </c>
      <c r="F114" s="1" t="s">
        <v>960</v>
      </c>
      <c r="G114" s="1" t="s">
        <v>522</v>
      </c>
      <c r="H114" s="1" t="s">
        <v>958</v>
      </c>
      <c r="I114" s="194" t="s">
        <v>2153</v>
      </c>
      <c r="J114" s="65" t="s">
        <v>2718</v>
      </c>
    </row>
    <row r="115" spans="1:10" ht="15" customHeight="1" x14ac:dyDescent="0.3">
      <c r="A115" s="65" t="s">
        <v>998</v>
      </c>
      <c r="B115" t="s">
        <v>1790</v>
      </c>
      <c r="C115" s="58" t="s">
        <v>1728</v>
      </c>
      <c r="D115" s="1">
        <v>5</v>
      </c>
      <c r="E115" s="1">
        <v>1</v>
      </c>
      <c r="F115" s="1" t="str">
        <f>IF(Foi="","",CONCATENATE(Foi*2," rounds"))</f>
        <v/>
      </c>
      <c r="G115" s="1" t="s">
        <v>522</v>
      </c>
      <c r="H115" s="1" t="s">
        <v>958</v>
      </c>
      <c r="I115" s="194" t="s">
        <v>2154</v>
      </c>
      <c r="J115" s="65" t="s">
        <v>1859</v>
      </c>
    </row>
    <row r="116" spans="1:10" ht="15" customHeight="1" x14ac:dyDescent="0.3">
      <c r="A116" s="65" t="s">
        <v>998</v>
      </c>
      <c r="B116" t="s">
        <v>1791</v>
      </c>
      <c r="C116" s="58" t="s">
        <v>1728</v>
      </c>
      <c r="D116" s="1">
        <v>5</v>
      </c>
      <c r="E116" s="1">
        <v>1</v>
      </c>
      <c r="F116" s="1" t="str">
        <f>IF(Foi="","",CONCATENATE(Foi*10," rounds"))</f>
        <v/>
      </c>
      <c r="G116" s="1" t="s">
        <v>522</v>
      </c>
      <c r="H116" s="1" t="s">
        <v>958</v>
      </c>
      <c r="I116" s="194" t="s">
        <v>2154</v>
      </c>
      <c r="J116" s="65" t="s">
        <v>2719</v>
      </c>
    </row>
    <row r="117" spans="1:10" ht="15" customHeight="1" x14ac:dyDescent="0.3">
      <c r="A117" s="65" t="s">
        <v>998</v>
      </c>
      <c r="B117" t="s">
        <v>1792</v>
      </c>
      <c r="C117" s="58" t="s">
        <v>1728</v>
      </c>
      <c r="D117" s="1">
        <v>5</v>
      </c>
      <c r="E117" s="1">
        <v>1</v>
      </c>
      <c r="F117" s="1" t="s">
        <v>2472</v>
      </c>
      <c r="G117" s="1" t="s">
        <v>522</v>
      </c>
      <c r="H117" s="1" t="s">
        <v>1804</v>
      </c>
      <c r="I117" s="194" t="s">
        <v>2155</v>
      </c>
      <c r="J117" s="65" t="s">
        <v>1860</v>
      </c>
    </row>
    <row r="118" spans="1:10" ht="15" customHeight="1" x14ac:dyDescent="0.3">
      <c r="A118" s="65" t="s">
        <v>998</v>
      </c>
      <c r="B118" t="s">
        <v>1793</v>
      </c>
      <c r="C118" s="58" t="s">
        <v>1728</v>
      </c>
      <c r="D118" s="1">
        <v>7</v>
      </c>
      <c r="E118" s="1" t="s">
        <v>1802</v>
      </c>
      <c r="F118" s="1" t="s">
        <v>960</v>
      </c>
      <c r="G118" s="1" t="s">
        <v>522</v>
      </c>
      <c r="H118" s="1" t="s">
        <v>1804</v>
      </c>
      <c r="I118" s="194" t="s">
        <v>2156</v>
      </c>
      <c r="J118" s="65" t="s">
        <v>1861</v>
      </c>
    </row>
    <row r="119" spans="1:10" ht="15" customHeight="1" x14ac:dyDescent="0.3">
      <c r="A119" s="65" t="s">
        <v>998</v>
      </c>
      <c r="B119" t="s">
        <v>1794</v>
      </c>
      <c r="C119" s="58" t="s">
        <v>1728</v>
      </c>
      <c r="D119" s="1">
        <v>7</v>
      </c>
      <c r="E119" s="1" t="s">
        <v>1802</v>
      </c>
      <c r="F119" s="1" t="s">
        <v>1742</v>
      </c>
      <c r="G119" s="1" t="s">
        <v>522</v>
      </c>
      <c r="H119" s="1" t="s">
        <v>1731</v>
      </c>
      <c r="I119" s="194" t="s">
        <v>4559</v>
      </c>
      <c r="J119" s="65" t="s">
        <v>1862</v>
      </c>
    </row>
    <row r="120" spans="1:10" ht="15" customHeight="1" x14ac:dyDescent="0.3">
      <c r="A120" s="65" t="s">
        <v>998</v>
      </c>
      <c r="B120" t="s">
        <v>1795</v>
      </c>
      <c r="C120" s="58" t="s">
        <v>1728</v>
      </c>
      <c r="D120" s="1">
        <v>7</v>
      </c>
      <c r="E120" s="1" t="s">
        <v>1802</v>
      </c>
      <c r="F120" s="1" t="s">
        <v>1742</v>
      </c>
      <c r="G120" s="1" t="s">
        <v>522</v>
      </c>
      <c r="H120" s="1" t="s">
        <v>1731</v>
      </c>
      <c r="I120" s="194" t="s">
        <v>2157</v>
      </c>
      <c r="J120" s="65" t="s">
        <v>1863</v>
      </c>
    </row>
    <row r="121" spans="1:10" ht="15" customHeight="1" x14ac:dyDescent="0.3">
      <c r="A121" s="65" t="s">
        <v>998</v>
      </c>
      <c r="B121" t="s">
        <v>1796</v>
      </c>
      <c r="C121" s="58" t="s">
        <v>1728</v>
      </c>
      <c r="D121" s="1">
        <v>11</v>
      </c>
      <c r="E121" s="1" t="s">
        <v>1830</v>
      </c>
      <c r="F121" s="1" t="s">
        <v>2472</v>
      </c>
      <c r="G121" s="1" t="s">
        <v>522</v>
      </c>
      <c r="H121" s="1" t="s">
        <v>1731</v>
      </c>
      <c r="I121" s="194" t="s">
        <v>2158</v>
      </c>
      <c r="J121" s="65" t="s">
        <v>1864</v>
      </c>
    </row>
    <row r="122" spans="1:10" ht="15" customHeight="1" x14ac:dyDescent="0.3">
      <c r="A122" s="65" t="s">
        <v>998</v>
      </c>
      <c r="B122" t="s">
        <v>2121</v>
      </c>
      <c r="C122" s="58" t="s">
        <v>1728</v>
      </c>
      <c r="D122" s="1">
        <v>5</v>
      </c>
      <c r="E122" s="1">
        <v>1</v>
      </c>
      <c r="F122" s="1" t="s">
        <v>2472</v>
      </c>
      <c r="G122" s="1" t="s">
        <v>522</v>
      </c>
      <c r="H122" s="1" t="s">
        <v>1731</v>
      </c>
      <c r="I122" s="194" t="s">
        <v>2159</v>
      </c>
      <c r="J122" s="186" t="s">
        <v>2122</v>
      </c>
    </row>
    <row r="123" spans="1:10" ht="15" customHeight="1" x14ac:dyDescent="0.3">
      <c r="A123" s="65" t="s">
        <v>998</v>
      </c>
      <c r="B123" t="s">
        <v>1797</v>
      </c>
      <c r="C123" s="58" t="s">
        <v>1728</v>
      </c>
      <c r="D123" s="1">
        <v>5</v>
      </c>
      <c r="E123" s="1" t="s">
        <v>1802</v>
      </c>
      <c r="F123" s="1" t="s">
        <v>10</v>
      </c>
      <c r="G123" s="1" t="s">
        <v>522</v>
      </c>
      <c r="H123" s="1" t="s">
        <v>958</v>
      </c>
      <c r="I123" s="194" t="s">
        <v>2160</v>
      </c>
      <c r="J123" s="65" t="s">
        <v>1865</v>
      </c>
    </row>
    <row r="124" spans="1:10" ht="15" customHeight="1" x14ac:dyDescent="0.3">
      <c r="A124" s="65" t="s">
        <v>998</v>
      </c>
      <c r="B124" t="s">
        <v>2476</v>
      </c>
      <c r="C124" s="58" t="s">
        <v>1728</v>
      </c>
      <c r="D124" s="1">
        <v>7</v>
      </c>
      <c r="E124" s="1">
        <v>1</v>
      </c>
      <c r="F124" s="1" t="str">
        <f>IF(Foi="","",CONCATENATE(Foi*1," rounds"))</f>
        <v/>
      </c>
      <c r="G124" s="1" t="s">
        <v>522</v>
      </c>
      <c r="H124" s="1" t="s">
        <v>1818</v>
      </c>
      <c r="I124" s="194" t="s">
        <v>2474</v>
      </c>
      <c r="J124" s="65" t="str">
        <f>CONCATENATE("Permet de dépenser jusqu'à ",Foi," carte(s). Chaque carte donne un bonus de +",Foi," au prochain jet d'aptitude ou de Trait de la cible. Dure jusqu'à la prochaine action ou la fin du sort")</f>
        <v>Permet de dépenser jusqu'à  carte(s). Chaque carte donne un bonus de + au prochain jet d'aptitude ou de Trait de la cible. Dure jusqu'à la prochaine action ou la fin du sort</v>
      </c>
    </row>
    <row r="125" spans="1:10" ht="15" customHeight="1" x14ac:dyDescent="0.3">
      <c r="A125" s="65" t="s">
        <v>998</v>
      </c>
      <c r="B125" t="s">
        <v>1798</v>
      </c>
      <c r="C125" s="58" t="s">
        <v>1728</v>
      </c>
      <c r="D125" s="1">
        <v>5</v>
      </c>
      <c r="E125" s="1">
        <v>1</v>
      </c>
      <c r="F125" s="1" t="str">
        <f>IF(Foi="","",CONCATENATE(Foi*1," mins"))</f>
        <v/>
      </c>
      <c r="G125" s="1" t="s">
        <v>522</v>
      </c>
      <c r="H125" s="1" t="s">
        <v>1731</v>
      </c>
      <c r="I125" s="194" t="s">
        <v>2160</v>
      </c>
      <c r="J125" s="65" t="s">
        <v>2535</v>
      </c>
    </row>
    <row r="126" spans="1:10" ht="15" customHeight="1" x14ac:dyDescent="0.3">
      <c r="A126" s="65" t="s">
        <v>998</v>
      </c>
      <c r="B126" t="s">
        <v>1799</v>
      </c>
      <c r="C126" s="58" t="s">
        <v>1728</v>
      </c>
      <c r="D126" s="1" t="s">
        <v>550</v>
      </c>
      <c r="E126" s="1" t="s">
        <v>1825</v>
      </c>
      <c r="F126" s="1" t="s">
        <v>2472</v>
      </c>
      <c r="G126" s="1" t="s">
        <v>522</v>
      </c>
      <c r="H126" s="1" t="s">
        <v>1804</v>
      </c>
      <c r="I126" s="194" t="s">
        <v>2160</v>
      </c>
      <c r="J126" s="65" t="s">
        <v>2534</v>
      </c>
    </row>
    <row r="127" spans="1:10" ht="15" customHeight="1" x14ac:dyDescent="0.3">
      <c r="A127" s="65" t="s">
        <v>998</v>
      </c>
      <c r="B127" t="s">
        <v>1800</v>
      </c>
      <c r="C127" s="58" t="s">
        <v>1728</v>
      </c>
      <c r="D127" s="1">
        <v>7</v>
      </c>
      <c r="E127" s="1" t="s">
        <v>1817</v>
      </c>
      <c r="F127" s="1" t="s">
        <v>1817</v>
      </c>
      <c r="G127" s="1" t="s">
        <v>522</v>
      </c>
      <c r="H127" s="1" t="s">
        <v>958</v>
      </c>
      <c r="I127" s="194" t="s">
        <v>2161</v>
      </c>
      <c r="J127" s="65" t="s">
        <v>1866</v>
      </c>
    </row>
    <row r="128" spans="1:10" ht="15" customHeight="1" x14ac:dyDescent="0.3">
      <c r="A128" s="65" t="s">
        <v>998</v>
      </c>
      <c r="B128" t="s">
        <v>1801</v>
      </c>
      <c r="C128" s="58" t="s">
        <v>1728</v>
      </c>
      <c r="D128" s="1">
        <v>7</v>
      </c>
      <c r="E128" s="1">
        <v>1</v>
      </c>
      <c r="F128" s="1" t="s">
        <v>10</v>
      </c>
      <c r="G128" s="1" t="s">
        <v>522</v>
      </c>
      <c r="H128" s="1" t="str">
        <f>IF(Foi="","",CONCATENATE(Foi," m"))</f>
        <v/>
      </c>
      <c r="I128" s="194" t="s">
        <v>2161</v>
      </c>
      <c r="J128" s="65" t="s">
        <v>1867</v>
      </c>
    </row>
    <row r="129" spans="1:10" ht="15" customHeight="1" x14ac:dyDescent="0.3">
      <c r="A129" s="65" t="s">
        <v>970</v>
      </c>
      <c r="B129" t="s">
        <v>2168</v>
      </c>
      <c r="C129" s="58">
        <v>1</v>
      </c>
      <c r="D129" s="1">
        <v>1</v>
      </c>
      <c r="E129" s="1">
        <v>0</v>
      </c>
      <c r="F129" s="1" t="s">
        <v>2858</v>
      </c>
      <c r="G129" s="1">
        <v>2</v>
      </c>
      <c r="H129" s="1" t="s">
        <v>522</v>
      </c>
      <c r="I129" s="194" t="s">
        <v>2863</v>
      </c>
      <c r="J129" s="186" t="s">
        <v>2571</v>
      </c>
    </row>
    <row r="130" spans="1:10" ht="15" customHeight="1" x14ac:dyDescent="0.3">
      <c r="A130" s="65" t="s">
        <v>970</v>
      </c>
      <c r="B130" t="s">
        <v>2167</v>
      </c>
      <c r="C130" s="58">
        <v>3</v>
      </c>
      <c r="D130" s="1">
        <v>0</v>
      </c>
      <c r="E130" s="1">
        <v>0</v>
      </c>
      <c r="F130" s="1" t="s">
        <v>960</v>
      </c>
      <c r="G130" s="1">
        <v>2</v>
      </c>
      <c r="H130" s="1" t="s">
        <v>522</v>
      </c>
      <c r="I130" s="194" t="s">
        <v>2886</v>
      </c>
      <c r="J130" s="186" t="s">
        <v>2572</v>
      </c>
    </row>
    <row r="131" spans="1:10" ht="15" customHeight="1" x14ac:dyDescent="0.3">
      <c r="A131" s="65" t="s">
        <v>970</v>
      </c>
      <c r="B131" t="s">
        <v>971</v>
      </c>
      <c r="C131" s="58" t="s">
        <v>1002</v>
      </c>
      <c r="D131" s="1">
        <v>0</v>
      </c>
      <c r="E131" s="1" t="s">
        <v>981</v>
      </c>
      <c r="F131" s="1" t="s">
        <v>1814</v>
      </c>
      <c r="G131" s="1" t="s">
        <v>2877</v>
      </c>
      <c r="H131" s="1" t="s">
        <v>522</v>
      </c>
      <c r="I131" s="194" t="s">
        <v>2878</v>
      </c>
      <c r="J131" s="186" t="s">
        <v>2573</v>
      </c>
    </row>
    <row r="132" spans="1:10" ht="15" customHeight="1" x14ac:dyDescent="0.3">
      <c r="A132" s="65" t="s">
        <v>970</v>
      </c>
      <c r="B132" t="s">
        <v>972</v>
      </c>
      <c r="C132" s="58">
        <v>3</v>
      </c>
      <c r="D132" s="1">
        <v>0</v>
      </c>
      <c r="E132" s="1" t="s">
        <v>981</v>
      </c>
      <c r="F132" s="1" t="s">
        <v>960</v>
      </c>
      <c r="G132" s="1">
        <v>2</v>
      </c>
      <c r="H132" s="1" t="s">
        <v>522</v>
      </c>
      <c r="I132" s="194" t="s">
        <v>2875</v>
      </c>
      <c r="J132" s="186" t="s">
        <v>2574</v>
      </c>
    </row>
    <row r="133" spans="1:10" ht="15" customHeight="1" x14ac:dyDescent="0.3">
      <c r="A133" s="65" t="s">
        <v>970</v>
      </c>
      <c r="B133" t="s">
        <v>973</v>
      </c>
      <c r="C133" s="58">
        <v>10</v>
      </c>
      <c r="D133" s="1">
        <v>0</v>
      </c>
      <c r="E133" s="1">
        <v>1</v>
      </c>
      <c r="F133" s="1" t="s">
        <v>1814</v>
      </c>
      <c r="G133" s="1">
        <v>3</v>
      </c>
      <c r="H133" s="1" t="s">
        <v>522</v>
      </c>
      <c r="I133" s="194" t="s">
        <v>2884</v>
      </c>
      <c r="J133" s="186" t="s">
        <v>2575</v>
      </c>
    </row>
    <row r="134" spans="1:10" ht="15" customHeight="1" x14ac:dyDescent="0.3">
      <c r="A134" s="65" t="s">
        <v>970</v>
      </c>
      <c r="B134" t="s">
        <v>544</v>
      </c>
      <c r="C134" s="58">
        <v>2</v>
      </c>
      <c r="D134" s="1">
        <v>0</v>
      </c>
      <c r="E134" s="1">
        <v>1</v>
      </c>
      <c r="F134" s="1" t="s">
        <v>2858</v>
      </c>
      <c r="G134" s="1">
        <v>2</v>
      </c>
      <c r="H134" s="1" t="s">
        <v>522</v>
      </c>
      <c r="I134" s="194" t="s">
        <v>2856</v>
      </c>
      <c r="J134" s="186" t="s">
        <v>2576</v>
      </c>
    </row>
    <row r="135" spans="1:10" ht="15" customHeight="1" x14ac:dyDescent="0.3">
      <c r="A135" s="65" t="s">
        <v>970</v>
      </c>
      <c r="B135" t="s">
        <v>974</v>
      </c>
      <c r="C135" s="58">
        <v>3</v>
      </c>
      <c r="D135" s="1">
        <v>0</v>
      </c>
      <c r="E135" s="1">
        <v>0</v>
      </c>
      <c r="F135" s="1" t="s">
        <v>960</v>
      </c>
      <c r="G135" s="1">
        <v>1</v>
      </c>
      <c r="H135" s="1" t="s">
        <v>522</v>
      </c>
      <c r="I135" s="194" t="s">
        <v>2864</v>
      </c>
      <c r="J135" s="186" t="s">
        <v>2577</v>
      </c>
    </row>
    <row r="136" spans="1:10" ht="15" customHeight="1" x14ac:dyDescent="0.3">
      <c r="A136" s="65" t="s">
        <v>970</v>
      </c>
      <c r="B136" t="s">
        <v>267</v>
      </c>
      <c r="C136" s="58" t="s">
        <v>975</v>
      </c>
      <c r="D136" s="1">
        <v>0</v>
      </c>
      <c r="E136" s="1">
        <v>1</v>
      </c>
      <c r="F136" s="1" t="s">
        <v>2858</v>
      </c>
      <c r="G136" s="1" t="s">
        <v>2871</v>
      </c>
      <c r="H136" s="1" t="s">
        <v>522</v>
      </c>
      <c r="I136" s="194" t="s">
        <v>2872</v>
      </c>
      <c r="J136" s="186" t="s">
        <v>2578</v>
      </c>
    </row>
    <row r="137" spans="1:10" ht="15" customHeight="1" x14ac:dyDescent="0.3">
      <c r="A137" s="65" t="s">
        <v>970</v>
      </c>
      <c r="B137" t="s">
        <v>976</v>
      </c>
      <c r="C137" s="58" t="s">
        <v>977</v>
      </c>
      <c r="D137" s="1">
        <v>0</v>
      </c>
      <c r="E137" s="1">
        <v>1</v>
      </c>
      <c r="F137" s="1" t="s">
        <v>2903</v>
      </c>
      <c r="G137" s="1">
        <v>1</v>
      </c>
      <c r="H137" s="1" t="s">
        <v>522</v>
      </c>
      <c r="I137" s="194" t="s">
        <v>2852</v>
      </c>
      <c r="J137" s="186" t="s">
        <v>2579</v>
      </c>
    </row>
    <row r="138" spans="1:10" ht="15" customHeight="1" x14ac:dyDescent="0.3">
      <c r="A138" s="65" t="s">
        <v>970</v>
      </c>
      <c r="B138" t="s">
        <v>979</v>
      </c>
      <c r="C138" s="58">
        <v>5</v>
      </c>
      <c r="D138" s="1">
        <v>2</v>
      </c>
      <c r="E138" s="1">
        <v>1</v>
      </c>
      <c r="F138" s="1" t="s">
        <v>2882</v>
      </c>
      <c r="G138" s="1">
        <v>3</v>
      </c>
      <c r="H138" s="1" t="s">
        <v>522</v>
      </c>
      <c r="I138" s="194" t="s">
        <v>2881</v>
      </c>
      <c r="J138" s="186" t="s">
        <v>2580</v>
      </c>
    </row>
    <row r="139" spans="1:10" ht="15" customHeight="1" x14ac:dyDescent="0.3">
      <c r="A139" s="65" t="s">
        <v>970</v>
      </c>
      <c r="B139" t="s">
        <v>2887</v>
      </c>
      <c r="C139" s="58">
        <v>5</v>
      </c>
      <c r="D139" s="1">
        <v>1</v>
      </c>
      <c r="E139" s="1">
        <v>0</v>
      </c>
      <c r="F139" s="1" t="s">
        <v>2858</v>
      </c>
      <c r="G139" s="1">
        <v>1</v>
      </c>
      <c r="H139" s="1" t="s">
        <v>522</v>
      </c>
      <c r="I139" s="194" t="s">
        <v>2888</v>
      </c>
      <c r="J139" s="186" t="s">
        <v>2889</v>
      </c>
    </row>
    <row r="140" spans="1:10" ht="15" customHeight="1" x14ac:dyDescent="0.3">
      <c r="A140" s="65" t="s">
        <v>970</v>
      </c>
      <c r="B140" t="s">
        <v>547</v>
      </c>
      <c r="C140" s="58">
        <v>5</v>
      </c>
      <c r="D140" s="1">
        <v>0</v>
      </c>
      <c r="E140" s="1">
        <v>0</v>
      </c>
      <c r="F140" s="1" t="s">
        <v>2858</v>
      </c>
      <c r="G140" s="1">
        <v>1</v>
      </c>
      <c r="H140" s="1" t="s">
        <v>522</v>
      </c>
      <c r="I140" s="194" t="s">
        <v>2855</v>
      </c>
      <c r="J140" s="186" t="s">
        <v>2581</v>
      </c>
    </row>
    <row r="141" spans="1:10" ht="15" customHeight="1" x14ac:dyDescent="0.3">
      <c r="A141" s="65" t="s">
        <v>970</v>
      </c>
      <c r="B141" t="s">
        <v>546</v>
      </c>
      <c r="C141" s="58">
        <v>10</v>
      </c>
      <c r="D141" s="1">
        <v>0</v>
      </c>
      <c r="E141" s="1">
        <v>0</v>
      </c>
      <c r="F141" s="1" t="s">
        <v>960</v>
      </c>
      <c r="G141" s="1">
        <v>4</v>
      </c>
      <c r="H141" s="1" t="s">
        <v>522</v>
      </c>
      <c r="I141" s="194" t="s">
        <v>2857</v>
      </c>
      <c r="J141" s="186" t="s">
        <v>2582</v>
      </c>
    </row>
    <row r="142" spans="1:10" ht="15" customHeight="1" x14ac:dyDescent="0.3">
      <c r="A142" s="65" t="s">
        <v>970</v>
      </c>
      <c r="B142" t="s">
        <v>2166</v>
      </c>
      <c r="C142" s="58">
        <v>3</v>
      </c>
      <c r="D142" s="1">
        <v>0</v>
      </c>
      <c r="E142" s="1">
        <v>1</v>
      </c>
      <c r="F142" s="1" t="s">
        <v>960</v>
      </c>
      <c r="G142" s="1">
        <v>2</v>
      </c>
      <c r="H142" s="1" t="s">
        <v>522</v>
      </c>
      <c r="I142" s="194" t="s">
        <v>2874</v>
      </c>
      <c r="J142" s="186" t="s">
        <v>2720</v>
      </c>
    </row>
    <row r="143" spans="1:10" ht="15" customHeight="1" x14ac:dyDescent="0.3">
      <c r="A143" s="65" t="s">
        <v>970</v>
      </c>
      <c r="B143" t="s">
        <v>980</v>
      </c>
      <c r="C143" s="58">
        <v>1</v>
      </c>
      <c r="D143" s="1">
        <v>0</v>
      </c>
      <c r="E143" s="1" t="s">
        <v>981</v>
      </c>
      <c r="F143" s="1" t="s">
        <v>960</v>
      </c>
      <c r="G143" s="1">
        <v>1</v>
      </c>
      <c r="H143" s="1" t="s">
        <v>522</v>
      </c>
      <c r="I143" s="194" t="s">
        <v>2876</v>
      </c>
      <c r="J143" s="186" t="s">
        <v>2583</v>
      </c>
    </row>
    <row r="144" spans="1:10" ht="15" customHeight="1" x14ac:dyDescent="0.3">
      <c r="A144" s="65" t="s">
        <v>970</v>
      </c>
      <c r="B144" t="s">
        <v>984</v>
      </c>
      <c r="C144" s="58" t="s">
        <v>985</v>
      </c>
      <c r="D144" s="1">
        <v>0</v>
      </c>
      <c r="E144" s="1" t="s">
        <v>978</v>
      </c>
      <c r="F144" s="1" t="s">
        <v>960</v>
      </c>
      <c r="G144" s="1" t="s">
        <v>2862</v>
      </c>
      <c r="H144" s="1" t="s">
        <v>522</v>
      </c>
      <c r="I144" s="194" t="s">
        <v>2851</v>
      </c>
      <c r="J144" s="186" t="s">
        <v>2601</v>
      </c>
    </row>
    <row r="145" spans="1:10" ht="15" customHeight="1" x14ac:dyDescent="0.3">
      <c r="A145" s="65" t="s">
        <v>970</v>
      </c>
      <c r="B145" t="s">
        <v>982</v>
      </c>
      <c r="C145" s="58" t="s">
        <v>983</v>
      </c>
      <c r="D145" s="1">
        <v>0</v>
      </c>
      <c r="E145" s="1">
        <v>0</v>
      </c>
      <c r="F145" s="1" t="s">
        <v>960</v>
      </c>
      <c r="G145" s="1">
        <v>1</v>
      </c>
      <c r="H145" s="1" t="s">
        <v>522</v>
      </c>
      <c r="I145" s="194" t="s">
        <v>2853</v>
      </c>
      <c r="J145" s="186" t="s">
        <v>2584</v>
      </c>
    </row>
    <row r="146" spans="1:10" ht="15" customHeight="1" x14ac:dyDescent="0.3">
      <c r="A146" s="65" t="s">
        <v>970</v>
      </c>
      <c r="B146" t="s">
        <v>2893</v>
      </c>
      <c r="C146" s="58">
        <v>2</v>
      </c>
      <c r="D146" s="1" t="s">
        <v>1811</v>
      </c>
      <c r="E146" s="1">
        <v>0</v>
      </c>
      <c r="F146" s="1" t="s">
        <v>2858</v>
      </c>
      <c r="G146" s="1">
        <v>2</v>
      </c>
      <c r="H146" s="1" t="s">
        <v>522</v>
      </c>
      <c r="I146" s="194" t="s">
        <v>2894</v>
      </c>
      <c r="J146" s="186" t="s">
        <v>2905</v>
      </c>
    </row>
    <row r="147" spans="1:10" ht="15" customHeight="1" x14ac:dyDescent="0.3">
      <c r="A147" s="65" t="s">
        <v>970</v>
      </c>
      <c r="B147" t="s">
        <v>2890</v>
      </c>
      <c r="C147" s="58">
        <v>7</v>
      </c>
      <c r="D147" s="1">
        <v>2</v>
      </c>
      <c r="E147" s="1">
        <v>0</v>
      </c>
      <c r="F147" s="1" t="s">
        <v>960</v>
      </c>
      <c r="G147" s="1">
        <v>2</v>
      </c>
      <c r="H147" s="1" t="s">
        <v>522</v>
      </c>
      <c r="I147" s="194" t="s">
        <v>2891</v>
      </c>
      <c r="J147" s="186" t="s">
        <v>2892</v>
      </c>
    </row>
    <row r="148" spans="1:10" ht="15" customHeight="1" x14ac:dyDescent="0.3">
      <c r="A148" s="65" t="s">
        <v>970</v>
      </c>
      <c r="B148" t="s">
        <v>2536</v>
      </c>
      <c r="C148" s="58" t="s">
        <v>1936</v>
      </c>
      <c r="D148" s="1">
        <v>0</v>
      </c>
      <c r="E148" s="1">
        <v>0</v>
      </c>
      <c r="F148" s="1" t="s">
        <v>960</v>
      </c>
      <c r="G148" s="1">
        <v>1</v>
      </c>
      <c r="H148" s="1" t="s">
        <v>522</v>
      </c>
      <c r="I148" s="194" t="s">
        <v>2853</v>
      </c>
      <c r="J148" s="186" t="s">
        <v>2585</v>
      </c>
    </row>
    <row r="149" spans="1:10" ht="15" customHeight="1" x14ac:dyDescent="0.3">
      <c r="A149" s="65" t="s">
        <v>970</v>
      </c>
      <c r="B149" t="s">
        <v>987</v>
      </c>
      <c r="C149" s="58">
        <v>3</v>
      </c>
      <c r="D149" s="1">
        <v>0</v>
      </c>
      <c r="E149" s="1" t="s">
        <v>981</v>
      </c>
      <c r="F149" s="1" t="s">
        <v>960</v>
      </c>
      <c r="G149" s="1">
        <v>1</v>
      </c>
      <c r="H149" s="1" t="s">
        <v>522</v>
      </c>
      <c r="I149" s="194" t="s">
        <v>2870</v>
      </c>
      <c r="J149" s="186" t="s">
        <v>2586</v>
      </c>
    </row>
    <row r="150" spans="1:10" ht="15" customHeight="1" x14ac:dyDescent="0.3">
      <c r="A150" s="65" t="s">
        <v>970</v>
      </c>
      <c r="B150" t="s">
        <v>990</v>
      </c>
      <c r="C150" s="58">
        <v>4</v>
      </c>
      <c r="D150" s="1">
        <v>0</v>
      </c>
      <c r="E150" s="1">
        <v>1</v>
      </c>
      <c r="F150" s="1" t="s">
        <v>960</v>
      </c>
      <c r="G150" s="1">
        <v>3</v>
      </c>
      <c r="H150" s="1" t="s">
        <v>522</v>
      </c>
      <c r="I150" s="194" t="s">
        <v>2873</v>
      </c>
      <c r="J150" s="186" t="s">
        <v>2724</v>
      </c>
    </row>
    <row r="151" spans="1:10" ht="15" customHeight="1" x14ac:dyDescent="0.3">
      <c r="A151" s="65" t="s">
        <v>970</v>
      </c>
      <c r="B151" t="s">
        <v>2537</v>
      </c>
      <c r="C151" s="58">
        <v>4</v>
      </c>
      <c r="D151" s="1">
        <v>2</v>
      </c>
      <c r="E151" s="1">
        <v>1</v>
      </c>
      <c r="F151" s="1" t="s">
        <v>2858</v>
      </c>
      <c r="G151" s="1">
        <v>2</v>
      </c>
      <c r="H151" s="1" t="s">
        <v>522</v>
      </c>
      <c r="I151" s="194" t="s">
        <v>2883</v>
      </c>
      <c r="J151" s="186" t="s">
        <v>2587</v>
      </c>
    </row>
    <row r="152" spans="1:10" ht="15" customHeight="1" x14ac:dyDescent="0.3">
      <c r="A152" s="65" t="s">
        <v>970</v>
      </c>
      <c r="B152" t="s">
        <v>991</v>
      </c>
      <c r="C152" s="58">
        <v>2</v>
      </c>
      <c r="D152" s="1">
        <v>0</v>
      </c>
      <c r="E152" s="1">
        <v>0</v>
      </c>
      <c r="F152" s="1" t="s">
        <v>960</v>
      </c>
      <c r="G152" s="1">
        <v>1</v>
      </c>
      <c r="H152" s="1" t="s">
        <v>522</v>
      </c>
      <c r="I152" s="194" t="s">
        <v>2885</v>
      </c>
      <c r="J152" s="186" t="s">
        <v>2602</v>
      </c>
    </row>
    <row r="153" spans="1:10" ht="15" customHeight="1" x14ac:dyDescent="0.3">
      <c r="A153" s="65" t="s">
        <v>970</v>
      </c>
      <c r="B153" t="s">
        <v>988</v>
      </c>
      <c r="C153" s="58">
        <v>3</v>
      </c>
      <c r="D153" s="1">
        <v>1</v>
      </c>
      <c r="E153" s="1">
        <v>1</v>
      </c>
      <c r="F153" s="1" t="s">
        <v>2858</v>
      </c>
      <c r="G153" s="1">
        <v>2</v>
      </c>
      <c r="H153" s="1" t="s">
        <v>522</v>
      </c>
      <c r="I153" s="194" t="s">
        <v>2879</v>
      </c>
      <c r="J153" s="186" t="s">
        <v>2609</v>
      </c>
    </row>
    <row r="154" spans="1:10" ht="15" customHeight="1" x14ac:dyDescent="0.3">
      <c r="A154" s="65" t="s">
        <v>970</v>
      </c>
      <c r="B154" t="s">
        <v>989</v>
      </c>
      <c r="C154" s="58">
        <v>5</v>
      </c>
      <c r="D154" s="1">
        <v>0</v>
      </c>
      <c r="E154" s="1">
        <v>1</v>
      </c>
      <c r="F154" s="1" t="s">
        <v>960</v>
      </c>
      <c r="G154" s="1">
        <v>1</v>
      </c>
      <c r="H154" s="1" t="s">
        <v>522</v>
      </c>
      <c r="I154" s="194" t="s">
        <v>2854</v>
      </c>
      <c r="J154" s="186" t="s">
        <v>2589</v>
      </c>
    </row>
    <row r="155" spans="1:10" ht="15" customHeight="1" x14ac:dyDescent="0.3">
      <c r="A155" s="65" t="s">
        <v>970</v>
      </c>
      <c r="B155" t="s">
        <v>2169</v>
      </c>
      <c r="C155" s="58">
        <v>3</v>
      </c>
      <c r="D155" s="1">
        <v>0</v>
      </c>
      <c r="E155" s="1">
        <v>0</v>
      </c>
      <c r="F155" s="1" t="s">
        <v>960</v>
      </c>
      <c r="G155" s="1">
        <v>1</v>
      </c>
      <c r="H155" s="1" t="s">
        <v>522</v>
      </c>
      <c r="I155" s="194" t="s">
        <v>2883</v>
      </c>
      <c r="J155" s="186" t="s">
        <v>2603</v>
      </c>
    </row>
    <row r="156" spans="1:10" ht="15" customHeight="1" x14ac:dyDescent="0.3">
      <c r="A156" s="65" t="s">
        <v>970</v>
      </c>
      <c r="B156" t="s">
        <v>2165</v>
      </c>
      <c r="C156" s="58" t="s">
        <v>1000</v>
      </c>
      <c r="D156" s="1">
        <v>0</v>
      </c>
      <c r="E156" s="1">
        <v>0</v>
      </c>
      <c r="F156" s="1" t="s">
        <v>960</v>
      </c>
      <c r="G156" s="1" t="s">
        <v>2868</v>
      </c>
      <c r="H156" s="1" t="s">
        <v>522</v>
      </c>
      <c r="I156" s="194" t="s">
        <v>2869</v>
      </c>
      <c r="J156" s="186" t="s">
        <v>2590</v>
      </c>
    </row>
    <row r="157" spans="1:10" ht="15" customHeight="1" x14ac:dyDescent="0.3">
      <c r="A157" s="65" t="s">
        <v>970</v>
      </c>
      <c r="B157" t="s">
        <v>992</v>
      </c>
      <c r="C157" s="58">
        <v>5</v>
      </c>
      <c r="D157" s="1">
        <v>2</v>
      </c>
      <c r="E157" s="1">
        <v>2</v>
      </c>
      <c r="F157" s="1" t="s">
        <v>2858</v>
      </c>
      <c r="G157" s="1" t="s">
        <v>2866</v>
      </c>
      <c r="H157" s="1" t="s">
        <v>522</v>
      </c>
      <c r="I157" s="194" t="s">
        <v>2867</v>
      </c>
      <c r="J157" s="186" t="s">
        <v>2591</v>
      </c>
    </row>
    <row r="158" spans="1:10" ht="15" customHeight="1" x14ac:dyDescent="0.3">
      <c r="A158" s="65" t="s">
        <v>970</v>
      </c>
      <c r="B158" t="s">
        <v>2895</v>
      </c>
      <c r="C158" s="58">
        <v>9</v>
      </c>
      <c r="D158" s="1">
        <v>3</v>
      </c>
      <c r="E158" s="1">
        <v>2</v>
      </c>
      <c r="F158" s="1" t="s">
        <v>2882</v>
      </c>
      <c r="G158" s="1">
        <v>3</v>
      </c>
      <c r="H158" s="1" t="s">
        <v>522</v>
      </c>
      <c r="I158" s="194" t="s">
        <v>2896</v>
      </c>
      <c r="J158" s="186" t="s">
        <v>2897</v>
      </c>
    </row>
    <row r="159" spans="1:10" ht="15" customHeight="1" x14ac:dyDescent="0.3">
      <c r="A159" s="65" t="s">
        <v>970</v>
      </c>
      <c r="B159" t="s">
        <v>993</v>
      </c>
      <c r="C159" s="58">
        <v>5</v>
      </c>
      <c r="D159" s="1">
        <v>0</v>
      </c>
      <c r="E159" s="1">
        <v>1</v>
      </c>
      <c r="F159" s="1" t="s">
        <v>2858</v>
      </c>
      <c r="G159" s="1">
        <v>2</v>
      </c>
      <c r="H159" s="1" t="s">
        <v>522</v>
      </c>
      <c r="I159" s="194" t="s">
        <v>2880</v>
      </c>
      <c r="J159" s="186" t="s">
        <v>2588</v>
      </c>
    </row>
    <row r="160" spans="1:10" ht="15" customHeight="1" x14ac:dyDescent="0.3">
      <c r="A160" s="65" t="s">
        <v>970</v>
      </c>
      <c r="B160" t="s">
        <v>2170</v>
      </c>
      <c r="C160" s="58">
        <v>3</v>
      </c>
      <c r="D160" s="1">
        <v>0</v>
      </c>
      <c r="E160" s="1">
        <v>0</v>
      </c>
      <c r="F160" s="1" t="s">
        <v>2858</v>
      </c>
      <c r="G160" s="1">
        <v>2</v>
      </c>
      <c r="H160" s="1" t="s">
        <v>522</v>
      </c>
      <c r="I160" s="194" t="s">
        <v>2867</v>
      </c>
      <c r="J160" s="186" t="s">
        <v>2604</v>
      </c>
    </row>
    <row r="161" spans="1:10" ht="15" customHeight="1" x14ac:dyDescent="0.3">
      <c r="A161" s="65" t="s">
        <v>970</v>
      </c>
      <c r="B161" t="s">
        <v>994</v>
      </c>
      <c r="C161" s="58">
        <v>5</v>
      </c>
      <c r="D161" s="1">
        <v>2</v>
      </c>
      <c r="E161" s="1">
        <v>1</v>
      </c>
      <c r="F161" s="1" t="s">
        <v>522</v>
      </c>
      <c r="G161" s="1">
        <v>1</v>
      </c>
      <c r="H161" s="1" t="s">
        <v>522</v>
      </c>
      <c r="I161" s="194" t="s">
        <v>2865</v>
      </c>
      <c r="J161" s="186" t="s">
        <v>2605</v>
      </c>
    </row>
    <row r="162" spans="1:10" ht="15" customHeight="1" x14ac:dyDescent="0.3">
      <c r="A162" s="65" t="s">
        <v>970</v>
      </c>
      <c r="B162" t="s">
        <v>995</v>
      </c>
      <c r="C162" s="58" t="s">
        <v>986</v>
      </c>
      <c r="D162" s="1">
        <v>0</v>
      </c>
      <c r="E162" s="1" t="s">
        <v>2904</v>
      </c>
      <c r="F162" s="1" t="s">
        <v>522</v>
      </c>
      <c r="G162" s="1" t="s">
        <v>2861</v>
      </c>
      <c r="H162" s="1" t="s">
        <v>522</v>
      </c>
      <c r="I162" s="194" t="s">
        <v>2850</v>
      </c>
      <c r="J162" s="186" t="s">
        <v>2592</v>
      </c>
    </row>
    <row r="163" spans="1:10" ht="15" customHeight="1" x14ac:dyDescent="0.3">
      <c r="A163" s="65" t="s">
        <v>970</v>
      </c>
      <c r="B163" t="s">
        <v>2898</v>
      </c>
      <c r="C163" s="58">
        <v>5</v>
      </c>
      <c r="D163" s="1">
        <v>1</v>
      </c>
      <c r="E163" s="1">
        <v>1</v>
      </c>
      <c r="F163" s="1" t="s">
        <v>2858</v>
      </c>
      <c r="G163" s="1">
        <v>1</v>
      </c>
      <c r="H163" s="1" t="s">
        <v>522</v>
      </c>
      <c r="I163" s="194" t="s">
        <v>2899</v>
      </c>
      <c r="J163" s="186" t="s">
        <v>2900</v>
      </c>
    </row>
    <row r="164" spans="1:10" ht="15" customHeight="1" x14ac:dyDescent="0.3">
      <c r="A164" s="65" t="s">
        <v>970</v>
      </c>
      <c r="B164" t="s">
        <v>2901</v>
      </c>
      <c r="C164" s="58">
        <v>1</v>
      </c>
      <c r="D164" s="1">
        <v>1</v>
      </c>
      <c r="E164" s="1">
        <v>0</v>
      </c>
      <c r="F164" s="1" t="s">
        <v>960</v>
      </c>
      <c r="G164" s="1">
        <v>1</v>
      </c>
      <c r="H164" s="1" t="s">
        <v>522</v>
      </c>
      <c r="I164" s="194" t="s">
        <v>2899</v>
      </c>
      <c r="J164" s="186" t="s">
        <v>2902</v>
      </c>
    </row>
    <row r="165" spans="1:10" ht="15" customHeight="1" x14ac:dyDescent="0.3">
      <c r="A165" s="65" t="s">
        <v>970</v>
      </c>
      <c r="B165" t="s">
        <v>996</v>
      </c>
      <c r="C165" s="58" t="s">
        <v>1001</v>
      </c>
      <c r="D165" s="1">
        <v>0</v>
      </c>
      <c r="E165" s="1">
        <v>0</v>
      </c>
      <c r="F165" s="1" t="s">
        <v>960</v>
      </c>
      <c r="G165" s="1" t="s">
        <v>2860</v>
      </c>
      <c r="H165" s="1" t="s">
        <v>522</v>
      </c>
      <c r="I165" s="194" t="s">
        <v>2849</v>
      </c>
      <c r="J165" s="186" t="s">
        <v>2606</v>
      </c>
    </row>
    <row r="166" spans="1:10" ht="15" customHeight="1" x14ac:dyDescent="0.3">
      <c r="A166" s="65" t="s">
        <v>2072</v>
      </c>
      <c r="B166" t="s">
        <v>4593</v>
      </c>
      <c r="C166" s="58" t="s">
        <v>19</v>
      </c>
      <c r="D166" s="1" t="s">
        <v>2550</v>
      </c>
      <c r="E166" s="1" t="s">
        <v>978</v>
      </c>
      <c r="F166" s="1" t="s">
        <v>522</v>
      </c>
      <c r="G166" s="1">
        <v>2</v>
      </c>
      <c r="H166" s="1" t="s">
        <v>522</v>
      </c>
      <c r="I166" s="194" t="s">
        <v>2115</v>
      </c>
      <c r="J166" s="186" t="s">
        <v>2554</v>
      </c>
    </row>
    <row r="167" spans="1:10" ht="15" customHeight="1" x14ac:dyDescent="0.3">
      <c r="A167" s="65" t="s">
        <v>2072</v>
      </c>
      <c r="B167" t="s">
        <v>4584</v>
      </c>
      <c r="C167" s="58" t="s">
        <v>19</v>
      </c>
      <c r="D167" s="1">
        <v>5</v>
      </c>
      <c r="E167" s="1" t="s">
        <v>1955</v>
      </c>
      <c r="F167" s="1" t="s">
        <v>522</v>
      </c>
      <c r="G167" s="1">
        <v>1</v>
      </c>
      <c r="H167" s="1" t="s">
        <v>522</v>
      </c>
      <c r="I167" s="194" t="s">
        <v>4585</v>
      </c>
      <c r="J167" s="186" t="s">
        <v>4586</v>
      </c>
    </row>
    <row r="168" spans="1:10" ht="15" customHeight="1" x14ac:dyDescent="0.3">
      <c r="A168" s="65" t="s">
        <v>2072</v>
      </c>
      <c r="B168" t="s">
        <v>4594</v>
      </c>
      <c r="C168" s="58" t="s">
        <v>1728</v>
      </c>
      <c r="D168" s="1">
        <v>9</v>
      </c>
      <c r="E168" s="1" t="s">
        <v>4595</v>
      </c>
      <c r="F168" s="1" t="s">
        <v>522</v>
      </c>
      <c r="G168" s="1">
        <v>1</v>
      </c>
      <c r="H168" s="1" t="s">
        <v>522</v>
      </c>
      <c r="I168" s="194" t="s">
        <v>4582</v>
      </c>
      <c r="J168" s="186" t="s">
        <v>4606</v>
      </c>
    </row>
    <row r="169" spans="1:10" ht="15" customHeight="1" x14ac:dyDescent="0.3">
      <c r="A169" s="65" t="s">
        <v>2072</v>
      </c>
      <c r="B169" t="s">
        <v>4604</v>
      </c>
      <c r="C169" s="58" t="s">
        <v>13</v>
      </c>
      <c r="D169" s="1">
        <v>7</v>
      </c>
      <c r="E169" s="1" t="s">
        <v>960</v>
      </c>
      <c r="F169" s="1" t="s">
        <v>960</v>
      </c>
      <c r="G169" s="1">
        <v>1</v>
      </c>
      <c r="H169" s="1" t="s">
        <v>522</v>
      </c>
      <c r="I169" s="194" t="s">
        <v>4588</v>
      </c>
      <c r="J169" s="186" t="s">
        <v>4605</v>
      </c>
    </row>
    <row r="170" spans="1:10" ht="15" customHeight="1" x14ac:dyDescent="0.3">
      <c r="A170" s="65" t="s">
        <v>2072</v>
      </c>
      <c r="B170" t="s">
        <v>103</v>
      </c>
      <c r="C170" s="58" t="s">
        <v>16</v>
      </c>
      <c r="D170" s="1" t="s">
        <v>2541</v>
      </c>
      <c r="E170" s="1" t="s">
        <v>978</v>
      </c>
      <c r="F170" s="1" t="s">
        <v>522</v>
      </c>
      <c r="G170" s="1">
        <v>1</v>
      </c>
      <c r="H170" s="1" t="s">
        <v>522</v>
      </c>
      <c r="I170" s="194" t="s">
        <v>2114</v>
      </c>
      <c r="J170" s="186" t="s">
        <v>2542</v>
      </c>
    </row>
    <row r="171" spans="1:10" ht="15" customHeight="1" x14ac:dyDescent="0.3">
      <c r="A171" s="65" t="s">
        <v>2072</v>
      </c>
      <c r="B171" t="s">
        <v>4581</v>
      </c>
      <c r="C171" s="58" t="s">
        <v>19</v>
      </c>
      <c r="D171" s="1">
        <v>9</v>
      </c>
      <c r="E171" s="1" t="s">
        <v>1740</v>
      </c>
      <c r="F171" s="1" t="s">
        <v>522</v>
      </c>
      <c r="G171" s="1">
        <v>2</v>
      </c>
      <c r="H171" s="1" t="s">
        <v>522</v>
      </c>
      <c r="I171" s="194" t="s">
        <v>4582</v>
      </c>
      <c r="J171" s="186" t="s">
        <v>4583</v>
      </c>
    </row>
    <row r="172" spans="1:10" ht="15" customHeight="1" x14ac:dyDescent="0.3">
      <c r="A172" s="65" t="s">
        <v>2072</v>
      </c>
      <c r="B172" t="s">
        <v>4601</v>
      </c>
      <c r="C172" s="58" t="s">
        <v>1728</v>
      </c>
      <c r="D172" s="1">
        <v>9</v>
      </c>
      <c r="E172" s="1" t="s">
        <v>4602</v>
      </c>
      <c r="F172" s="1" t="s">
        <v>522</v>
      </c>
      <c r="G172" s="1">
        <v>1</v>
      </c>
      <c r="H172" s="1" t="s">
        <v>522</v>
      </c>
      <c r="I172" s="194" t="s">
        <v>4588</v>
      </c>
      <c r="J172" s="186" t="s">
        <v>4603</v>
      </c>
    </row>
    <row r="173" spans="1:10" ht="15" customHeight="1" x14ac:dyDescent="0.3">
      <c r="A173" s="65" t="s">
        <v>2072</v>
      </c>
      <c r="B173" t="s">
        <v>1722</v>
      </c>
      <c r="C173" s="58" t="s">
        <v>1728</v>
      </c>
      <c r="D173" s="1" t="s">
        <v>2116</v>
      </c>
      <c r="E173" s="1" t="s">
        <v>978</v>
      </c>
      <c r="F173" s="1" t="s">
        <v>522</v>
      </c>
      <c r="G173" s="1" t="s">
        <v>2073</v>
      </c>
      <c r="H173" s="1" t="s">
        <v>522</v>
      </c>
      <c r="I173" s="194" t="s">
        <v>2114</v>
      </c>
      <c r="J173" s="186" t="s">
        <v>2543</v>
      </c>
    </row>
    <row r="174" spans="1:10" ht="15" customHeight="1" x14ac:dyDescent="0.3">
      <c r="A174" s="65" t="s">
        <v>2072</v>
      </c>
      <c r="B174" t="s">
        <v>2074</v>
      </c>
      <c r="C174" s="58" t="s">
        <v>19</v>
      </c>
      <c r="D174" s="1" t="s">
        <v>2546</v>
      </c>
      <c r="E174" s="1">
        <v>1</v>
      </c>
      <c r="F174" s="1" t="s">
        <v>522</v>
      </c>
      <c r="G174" s="1">
        <v>3</v>
      </c>
      <c r="H174" s="1" t="s">
        <v>522</v>
      </c>
      <c r="I174" s="194" t="s">
        <v>2114</v>
      </c>
      <c r="J174" s="186" t="s">
        <v>2544</v>
      </c>
    </row>
    <row r="175" spans="1:10" ht="15" customHeight="1" x14ac:dyDescent="0.3">
      <c r="A175" s="65" t="s">
        <v>2072</v>
      </c>
      <c r="B175" t="s">
        <v>4587</v>
      </c>
      <c r="C175" s="58" t="s">
        <v>15</v>
      </c>
      <c r="D175" s="1" t="s">
        <v>2541</v>
      </c>
      <c r="E175" s="1" t="s">
        <v>4589</v>
      </c>
      <c r="F175" s="1" t="s">
        <v>522</v>
      </c>
      <c r="G175" s="1" t="s">
        <v>2566</v>
      </c>
      <c r="H175" s="1" t="s">
        <v>522</v>
      </c>
      <c r="I175" s="194" t="s">
        <v>4588</v>
      </c>
      <c r="J175" s="186" t="s">
        <v>4592</v>
      </c>
    </row>
    <row r="176" spans="1:10" ht="15" customHeight="1" x14ac:dyDescent="0.3">
      <c r="A176" s="65" t="s">
        <v>2072</v>
      </c>
      <c r="B176" t="s">
        <v>2075</v>
      </c>
      <c r="C176" s="58" t="s">
        <v>11</v>
      </c>
      <c r="D176" s="1" t="s">
        <v>2545</v>
      </c>
      <c r="E176" s="1" t="s">
        <v>4590</v>
      </c>
      <c r="F176" s="1" t="s">
        <v>522</v>
      </c>
      <c r="G176" s="1">
        <v>2</v>
      </c>
      <c r="H176" s="1" t="s">
        <v>522</v>
      </c>
      <c r="I176" s="194" t="s">
        <v>2115</v>
      </c>
      <c r="J176" s="186" t="s">
        <v>2547</v>
      </c>
    </row>
    <row r="177" spans="1:10" ht="15" customHeight="1" x14ac:dyDescent="0.3">
      <c r="A177" s="65" t="s">
        <v>2072</v>
      </c>
      <c r="B177" t="s">
        <v>4576</v>
      </c>
      <c r="C177" s="58" t="s">
        <v>16</v>
      </c>
      <c r="D177" s="1" t="s">
        <v>4577</v>
      </c>
      <c r="E177" s="1" t="s">
        <v>978</v>
      </c>
      <c r="F177" s="1" t="s">
        <v>522</v>
      </c>
      <c r="G177" s="1" t="s">
        <v>4578</v>
      </c>
      <c r="H177" s="1" t="s">
        <v>522</v>
      </c>
      <c r="I177" s="194" t="s">
        <v>4579</v>
      </c>
      <c r="J177" s="186" t="s">
        <v>4580</v>
      </c>
    </row>
    <row r="178" spans="1:10" ht="15" customHeight="1" x14ac:dyDescent="0.3">
      <c r="A178" s="65" t="s">
        <v>2072</v>
      </c>
      <c r="B178" t="s">
        <v>4596</v>
      </c>
      <c r="C178" s="58" t="s">
        <v>12</v>
      </c>
      <c r="D178" s="1">
        <v>9</v>
      </c>
      <c r="E178" s="1" t="s">
        <v>1894</v>
      </c>
      <c r="F178" s="1" t="s">
        <v>522</v>
      </c>
      <c r="G178" s="1">
        <v>2</v>
      </c>
      <c r="H178" s="1" t="s">
        <v>522</v>
      </c>
      <c r="I178" s="194" t="s">
        <v>4588</v>
      </c>
      <c r="J178" s="186" t="s">
        <v>4597</v>
      </c>
    </row>
    <row r="179" spans="1:10" ht="15" customHeight="1" x14ac:dyDescent="0.3">
      <c r="A179" s="65" t="s">
        <v>2072</v>
      </c>
      <c r="B179" t="s">
        <v>4598</v>
      </c>
      <c r="C179" s="58" t="s">
        <v>19</v>
      </c>
      <c r="D179" s="1">
        <v>9</v>
      </c>
      <c r="E179" s="1" t="s">
        <v>1829</v>
      </c>
      <c r="F179" s="1" t="s">
        <v>522</v>
      </c>
      <c r="G179" s="1" t="s">
        <v>550</v>
      </c>
      <c r="H179" s="1" t="s">
        <v>522</v>
      </c>
      <c r="I179" s="194" t="s">
        <v>4588</v>
      </c>
      <c r="J179" s="186" t="s">
        <v>4600</v>
      </c>
    </row>
    <row r="180" spans="1:10" ht="15" customHeight="1" x14ac:dyDescent="0.3">
      <c r="A180" s="65" t="s">
        <v>2072</v>
      </c>
      <c r="B180" t="s">
        <v>2076</v>
      </c>
      <c r="C180" s="58" t="s">
        <v>15</v>
      </c>
      <c r="D180" s="1" t="s">
        <v>2541</v>
      </c>
      <c r="E180" s="1" t="s">
        <v>4591</v>
      </c>
      <c r="F180" s="1" t="s">
        <v>522</v>
      </c>
      <c r="G180" s="1">
        <v>2</v>
      </c>
      <c r="H180" s="1" t="s">
        <v>522</v>
      </c>
      <c r="I180" s="194" t="s">
        <v>2115</v>
      </c>
      <c r="J180" s="186" t="s">
        <v>4599</v>
      </c>
    </row>
    <row r="181" spans="1:10" ht="15" customHeight="1" x14ac:dyDescent="0.3">
      <c r="A181" s="65" t="s">
        <v>2072</v>
      </c>
      <c r="B181" t="s">
        <v>2117</v>
      </c>
      <c r="C181" s="58" t="s">
        <v>959</v>
      </c>
      <c r="D181" s="1">
        <v>9</v>
      </c>
      <c r="E181" s="1">
        <v>1</v>
      </c>
      <c r="F181" s="1" t="s">
        <v>522</v>
      </c>
      <c r="G181" s="1">
        <v>1</v>
      </c>
      <c r="H181" s="1" t="s">
        <v>522</v>
      </c>
      <c r="I181" s="194" t="s">
        <v>2115</v>
      </c>
      <c r="J181" s="186" t="s">
        <v>2548</v>
      </c>
    </row>
    <row r="182" spans="1:10" ht="15" customHeight="1" x14ac:dyDescent="0.3">
      <c r="A182" s="65" t="s">
        <v>969</v>
      </c>
      <c r="B182" t="s">
        <v>1931</v>
      </c>
      <c r="C182" s="58" t="s">
        <v>12</v>
      </c>
      <c r="D182" s="1" t="s">
        <v>953</v>
      </c>
      <c r="E182" s="1">
        <v>1</v>
      </c>
      <c r="F182" s="1" t="s">
        <v>954</v>
      </c>
      <c r="G182" s="1" t="s">
        <v>522</v>
      </c>
      <c r="H182" s="1" t="s">
        <v>1932</v>
      </c>
      <c r="I182" s="194" t="s">
        <v>2172</v>
      </c>
      <c r="J182" s="186" t="s">
        <v>2607</v>
      </c>
    </row>
    <row r="183" spans="1:10" ht="15" customHeight="1" x14ac:dyDescent="0.3">
      <c r="A183" s="65" t="s">
        <v>969</v>
      </c>
      <c r="B183" t="s">
        <v>1933</v>
      </c>
      <c r="C183" s="58" t="s">
        <v>13</v>
      </c>
      <c r="D183" s="1" t="s">
        <v>961</v>
      </c>
      <c r="E183" s="1">
        <v>1</v>
      </c>
      <c r="F183" s="1" t="s">
        <v>10</v>
      </c>
      <c r="G183" s="1" t="s">
        <v>522</v>
      </c>
      <c r="H183" s="1" t="s">
        <v>1932</v>
      </c>
      <c r="I183" s="194" t="s">
        <v>2173</v>
      </c>
      <c r="J183" s="186" t="s">
        <v>2610</v>
      </c>
    </row>
    <row r="184" spans="1:10" ht="15" customHeight="1" x14ac:dyDescent="0.3">
      <c r="A184" s="65" t="s">
        <v>969</v>
      </c>
      <c r="B184" t="s">
        <v>1934</v>
      </c>
      <c r="C184" s="58" t="s">
        <v>1728</v>
      </c>
      <c r="D184" s="1" t="s">
        <v>953</v>
      </c>
      <c r="E184" s="1">
        <v>1</v>
      </c>
      <c r="F184" s="1" t="s">
        <v>954</v>
      </c>
      <c r="G184" s="1" t="s">
        <v>522</v>
      </c>
      <c r="H184" s="1" t="s">
        <v>1937</v>
      </c>
      <c r="I184" s="194" t="s">
        <v>2173</v>
      </c>
      <c r="J184" s="186" t="s">
        <v>2611</v>
      </c>
    </row>
    <row r="185" spans="1:10" ht="15" customHeight="1" x14ac:dyDescent="0.3">
      <c r="A185" s="65" t="s">
        <v>969</v>
      </c>
      <c r="B185" t="s">
        <v>1935</v>
      </c>
      <c r="C185" s="58" t="s">
        <v>12</v>
      </c>
      <c r="D185" s="1" t="s">
        <v>1938</v>
      </c>
      <c r="E185" s="1">
        <v>1</v>
      </c>
      <c r="F185" s="1" t="s">
        <v>1814</v>
      </c>
      <c r="G185" s="1" t="s">
        <v>522</v>
      </c>
      <c r="H185" s="1" t="s">
        <v>1814</v>
      </c>
      <c r="I185" s="194" t="s">
        <v>2173</v>
      </c>
      <c r="J185" s="186" t="s">
        <v>2612</v>
      </c>
    </row>
    <row r="186" spans="1:10" ht="15" customHeight="1" x14ac:dyDescent="0.3">
      <c r="A186" s="65" t="s">
        <v>969</v>
      </c>
      <c r="B186" t="s">
        <v>1939</v>
      </c>
      <c r="C186" s="58" t="s">
        <v>959</v>
      </c>
      <c r="D186" s="1" t="s">
        <v>953</v>
      </c>
      <c r="E186" s="1">
        <v>2</v>
      </c>
      <c r="F186" s="1" t="s">
        <v>1941</v>
      </c>
      <c r="G186" s="1" t="s">
        <v>522</v>
      </c>
      <c r="H186" s="1" t="s">
        <v>1731</v>
      </c>
      <c r="I186" s="194" t="s">
        <v>2174</v>
      </c>
      <c r="J186" s="186" t="s">
        <v>2613</v>
      </c>
    </row>
    <row r="187" spans="1:10" ht="15" customHeight="1" x14ac:dyDescent="0.3">
      <c r="A187" s="65" t="s">
        <v>969</v>
      </c>
      <c r="B187" t="s">
        <v>1940</v>
      </c>
      <c r="C187" s="58" t="s">
        <v>13</v>
      </c>
      <c r="D187" s="1" t="s">
        <v>962</v>
      </c>
      <c r="E187" s="1">
        <v>1</v>
      </c>
      <c r="F187" s="1" t="s">
        <v>954</v>
      </c>
      <c r="G187" s="1" t="s">
        <v>522</v>
      </c>
      <c r="H187" s="1" t="s">
        <v>958</v>
      </c>
      <c r="I187" s="194" t="s">
        <v>2744</v>
      </c>
      <c r="J187" s="186" t="s">
        <v>2614</v>
      </c>
    </row>
    <row r="188" spans="1:10" ht="15" customHeight="1" x14ac:dyDescent="0.3">
      <c r="A188" s="65" t="s">
        <v>969</v>
      </c>
      <c r="B188" t="s">
        <v>1942</v>
      </c>
      <c r="C188" s="58" t="s">
        <v>13</v>
      </c>
      <c r="D188" s="1" t="s">
        <v>961</v>
      </c>
      <c r="E188" s="1">
        <v>1</v>
      </c>
      <c r="F188" s="1" t="s">
        <v>10</v>
      </c>
      <c r="G188" s="1" t="s">
        <v>522</v>
      </c>
      <c r="H188" s="1" t="s">
        <v>1945</v>
      </c>
      <c r="I188" s="194" t="s">
        <v>2175</v>
      </c>
      <c r="J188" s="186" t="s">
        <v>2615</v>
      </c>
    </row>
    <row r="189" spans="1:10" ht="15" customHeight="1" x14ac:dyDescent="0.3">
      <c r="A189" s="65" t="s">
        <v>969</v>
      </c>
      <c r="B189" t="s">
        <v>1943</v>
      </c>
      <c r="C189" s="58" t="s">
        <v>959</v>
      </c>
      <c r="D189" s="1" t="s">
        <v>953</v>
      </c>
      <c r="E189" s="1">
        <v>1</v>
      </c>
      <c r="F189" s="1" t="s">
        <v>1946</v>
      </c>
      <c r="G189" s="1" t="s">
        <v>522</v>
      </c>
      <c r="H189" s="1" t="s">
        <v>1932</v>
      </c>
      <c r="I189" s="194" t="s">
        <v>2175</v>
      </c>
      <c r="J189" s="186" t="s">
        <v>2616</v>
      </c>
    </row>
    <row r="190" spans="1:10" ht="15" customHeight="1" x14ac:dyDescent="0.3">
      <c r="A190" s="65" t="s">
        <v>969</v>
      </c>
      <c r="B190" t="s">
        <v>1944</v>
      </c>
      <c r="C190" s="58" t="s">
        <v>1728</v>
      </c>
      <c r="D190" s="1" t="s">
        <v>953</v>
      </c>
      <c r="E190" s="1">
        <v>1</v>
      </c>
      <c r="F190" s="1" t="s">
        <v>954</v>
      </c>
      <c r="G190" s="1" t="s">
        <v>522</v>
      </c>
      <c r="H190" s="1" t="s">
        <v>1932</v>
      </c>
      <c r="I190" s="194" t="s">
        <v>2175</v>
      </c>
      <c r="J190" s="186" t="s">
        <v>2617</v>
      </c>
    </row>
    <row r="191" spans="1:10" ht="15" customHeight="1" x14ac:dyDescent="0.3">
      <c r="A191" s="65" t="s">
        <v>969</v>
      </c>
      <c r="B191" t="s">
        <v>952</v>
      </c>
      <c r="C191" s="58" t="s">
        <v>955</v>
      </c>
      <c r="D191" s="1" t="s">
        <v>953</v>
      </c>
      <c r="E191" s="1">
        <v>2</v>
      </c>
      <c r="F191" s="1" t="s">
        <v>954</v>
      </c>
      <c r="G191" s="1" t="s">
        <v>522</v>
      </c>
      <c r="H191" s="1" t="s">
        <v>1932</v>
      </c>
      <c r="I191" s="194" t="s">
        <v>2123</v>
      </c>
      <c r="J191" s="65" t="s">
        <v>2532</v>
      </c>
    </row>
    <row r="192" spans="1:10" ht="15" customHeight="1" x14ac:dyDescent="0.3">
      <c r="A192" s="65" t="s">
        <v>969</v>
      </c>
      <c r="B192" t="s">
        <v>5000</v>
      </c>
      <c r="C192" s="58" t="s">
        <v>959</v>
      </c>
      <c r="D192" s="1" t="s">
        <v>961</v>
      </c>
      <c r="E192" s="1">
        <v>1</v>
      </c>
      <c r="F192" s="1" t="s">
        <v>1951</v>
      </c>
      <c r="G192" s="1" t="s">
        <v>522</v>
      </c>
      <c r="H192" s="1" t="s">
        <v>1932</v>
      </c>
      <c r="I192" s="194" t="s">
        <v>5001</v>
      </c>
      <c r="J192" s="65" t="s">
        <v>5002</v>
      </c>
    </row>
    <row r="193" spans="1:10" ht="15" customHeight="1" x14ac:dyDescent="0.3">
      <c r="A193" s="65" t="s">
        <v>969</v>
      </c>
      <c r="B193" t="s">
        <v>1947</v>
      </c>
      <c r="C193" s="58" t="s">
        <v>12</v>
      </c>
      <c r="D193" s="1" t="s">
        <v>953</v>
      </c>
      <c r="E193" s="1">
        <v>1</v>
      </c>
      <c r="F193" s="1" t="s">
        <v>1941</v>
      </c>
      <c r="G193" s="1" t="s">
        <v>522</v>
      </c>
      <c r="H193" s="1" t="s">
        <v>1932</v>
      </c>
      <c r="I193" s="194" t="s">
        <v>2176</v>
      </c>
      <c r="J193" s="186" t="s">
        <v>2618</v>
      </c>
    </row>
    <row r="194" spans="1:10" ht="15" customHeight="1" x14ac:dyDescent="0.3">
      <c r="A194" s="65" t="s">
        <v>969</v>
      </c>
      <c r="B194" t="s">
        <v>956</v>
      </c>
      <c r="C194" s="58" t="s">
        <v>955</v>
      </c>
      <c r="D194" s="1" t="s">
        <v>953</v>
      </c>
      <c r="E194" s="1">
        <v>2</v>
      </c>
      <c r="F194" s="1" t="s">
        <v>954</v>
      </c>
      <c r="G194" s="1" t="s">
        <v>522</v>
      </c>
      <c r="H194" s="1" t="s">
        <v>958</v>
      </c>
      <c r="I194" s="194" t="s">
        <v>2123</v>
      </c>
      <c r="J194" s="66" t="s">
        <v>2531</v>
      </c>
    </row>
    <row r="195" spans="1:10" ht="15" customHeight="1" x14ac:dyDescent="0.3">
      <c r="A195" s="65" t="s">
        <v>969</v>
      </c>
      <c r="B195" t="s">
        <v>1948</v>
      </c>
      <c r="C195" s="58" t="s">
        <v>1728</v>
      </c>
      <c r="D195" s="1" t="s">
        <v>953</v>
      </c>
      <c r="E195" s="1">
        <v>1</v>
      </c>
      <c r="F195" s="1" t="s">
        <v>1949</v>
      </c>
      <c r="G195" s="1" t="s">
        <v>522</v>
      </c>
      <c r="H195" s="1" t="s">
        <v>958</v>
      </c>
      <c r="I195" s="194" t="s">
        <v>2176</v>
      </c>
      <c r="J195" s="186" t="s">
        <v>2619</v>
      </c>
    </row>
    <row r="196" spans="1:10" ht="15" customHeight="1" x14ac:dyDescent="0.3">
      <c r="A196" s="65" t="s">
        <v>969</v>
      </c>
      <c r="B196" t="s">
        <v>2748</v>
      </c>
      <c r="C196" s="58" t="s">
        <v>12</v>
      </c>
      <c r="D196" s="1" t="s">
        <v>1938</v>
      </c>
      <c r="E196" s="1" t="s">
        <v>981</v>
      </c>
      <c r="F196" s="1" t="s">
        <v>960</v>
      </c>
      <c r="G196" s="1" t="s">
        <v>522</v>
      </c>
      <c r="H196" s="1" t="s">
        <v>1932</v>
      </c>
      <c r="I196" s="194" t="s">
        <v>2746</v>
      </c>
      <c r="J196" s="186" t="s">
        <v>2749</v>
      </c>
    </row>
    <row r="197" spans="1:10" ht="15" customHeight="1" x14ac:dyDescent="0.3">
      <c r="A197" s="65" t="s">
        <v>969</v>
      </c>
      <c r="B197" t="s">
        <v>1950</v>
      </c>
      <c r="C197" s="58" t="s">
        <v>11</v>
      </c>
      <c r="D197" s="1" t="s">
        <v>961</v>
      </c>
      <c r="E197" s="1">
        <v>1</v>
      </c>
      <c r="F197" s="1" t="s">
        <v>1951</v>
      </c>
      <c r="G197" s="1" t="s">
        <v>522</v>
      </c>
      <c r="H197" s="1" t="s">
        <v>1932</v>
      </c>
      <c r="I197" s="194" t="s">
        <v>2177</v>
      </c>
      <c r="J197" s="186" t="s">
        <v>2620</v>
      </c>
    </row>
    <row r="198" spans="1:10" ht="15" customHeight="1" x14ac:dyDescent="0.3">
      <c r="A198" s="65" t="s">
        <v>969</v>
      </c>
      <c r="B198" t="s">
        <v>1952</v>
      </c>
      <c r="C198" s="58" t="s">
        <v>1728</v>
      </c>
      <c r="D198" s="1" t="s">
        <v>962</v>
      </c>
      <c r="E198" s="1" t="s">
        <v>1802</v>
      </c>
      <c r="F198" s="1" t="s">
        <v>1951</v>
      </c>
      <c r="G198" s="1" t="s">
        <v>522</v>
      </c>
      <c r="H198" s="1" t="s">
        <v>1731</v>
      </c>
      <c r="I198" s="194" t="s">
        <v>2177</v>
      </c>
      <c r="J198" s="186" t="s">
        <v>2621</v>
      </c>
    </row>
    <row r="199" spans="1:10" ht="15" customHeight="1" x14ac:dyDescent="0.3">
      <c r="A199" s="65" t="s">
        <v>969</v>
      </c>
      <c r="B199" t="s">
        <v>1953</v>
      </c>
      <c r="C199" s="58" t="s">
        <v>11</v>
      </c>
      <c r="D199" s="1" t="s">
        <v>961</v>
      </c>
      <c r="E199" s="1" t="s">
        <v>1955</v>
      </c>
      <c r="F199" s="1" t="s">
        <v>1951</v>
      </c>
      <c r="G199" s="1" t="s">
        <v>522</v>
      </c>
      <c r="H199" s="1" t="s">
        <v>1731</v>
      </c>
      <c r="I199" s="194" t="s">
        <v>2178</v>
      </c>
      <c r="J199" s="186" t="s">
        <v>2622</v>
      </c>
    </row>
    <row r="200" spans="1:10" ht="15" customHeight="1" x14ac:dyDescent="0.3">
      <c r="A200" s="65" t="s">
        <v>969</v>
      </c>
      <c r="B200" t="s">
        <v>1954</v>
      </c>
      <c r="C200" s="58" t="s">
        <v>11</v>
      </c>
      <c r="D200" s="1" t="s">
        <v>953</v>
      </c>
      <c r="E200" s="1">
        <v>2</v>
      </c>
      <c r="F200" s="1" t="s">
        <v>1951</v>
      </c>
      <c r="G200" s="1" t="s">
        <v>522</v>
      </c>
      <c r="H200" s="1" t="s">
        <v>958</v>
      </c>
      <c r="I200" s="194" t="s">
        <v>2178</v>
      </c>
      <c r="J200" s="186" t="s">
        <v>2623</v>
      </c>
    </row>
    <row r="201" spans="1:10" ht="15" customHeight="1" x14ac:dyDescent="0.3">
      <c r="A201" s="65" t="s">
        <v>969</v>
      </c>
      <c r="B201" t="s">
        <v>1956</v>
      </c>
      <c r="C201" s="58" t="s">
        <v>1728</v>
      </c>
      <c r="D201" s="1" t="s">
        <v>961</v>
      </c>
      <c r="E201" s="1">
        <v>2</v>
      </c>
      <c r="F201" s="1" t="s">
        <v>960</v>
      </c>
      <c r="G201" s="1" t="s">
        <v>522</v>
      </c>
      <c r="H201" s="1" t="s">
        <v>1958</v>
      </c>
      <c r="I201" s="194" t="s">
        <v>2179</v>
      </c>
      <c r="J201" s="186" t="s">
        <v>2624</v>
      </c>
    </row>
    <row r="202" spans="1:10" ht="15" customHeight="1" x14ac:dyDescent="0.3">
      <c r="A202" s="65" t="s">
        <v>969</v>
      </c>
      <c r="B202" t="s">
        <v>1957</v>
      </c>
      <c r="C202" s="58" t="s">
        <v>12</v>
      </c>
      <c r="D202" s="1" t="s">
        <v>961</v>
      </c>
      <c r="E202" s="1">
        <v>1</v>
      </c>
      <c r="F202" s="1" t="s">
        <v>10</v>
      </c>
      <c r="G202" s="1" t="s">
        <v>522</v>
      </c>
      <c r="H202" s="1" t="s">
        <v>1932</v>
      </c>
      <c r="I202" s="194" t="s">
        <v>2180</v>
      </c>
      <c r="J202" s="186" t="s">
        <v>2625</v>
      </c>
    </row>
    <row r="203" spans="1:10" ht="15" customHeight="1" x14ac:dyDescent="0.3">
      <c r="A203" s="65" t="s">
        <v>969</v>
      </c>
      <c r="B203" t="s">
        <v>1959</v>
      </c>
      <c r="C203" s="58" t="s">
        <v>12</v>
      </c>
      <c r="D203" s="1" t="s">
        <v>961</v>
      </c>
      <c r="E203" s="1">
        <v>2</v>
      </c>
      <c r="F203" s="1" t="s">
        <v>10</v>
      </c>
      <c r="G203" s="1" t="s">
        <v>522</v>
      </c>
      <c r="H203" s="1" t="s">
        <v>1932</v>
      </c>
      <c r="I203" s="194" t="s">
        <v>2181</v>
      </c>
      <c r="J203" s="186" t="s">
        <v>2626</v>
      </c>
    </row>
    <row r="204" spans="1:10" ht="15" customHeight="1" x14ac:dyDescent="0.3">
      <c r="A204" s="65" t="s">
        <v>969</v>
      </c>
      <c r="B204" t="s">
        <v>1960</v>
      </c>
      <c r="C204" s="58" t="s">
        <v>959</v>
      </c>
      <c r="D204" s="1" t="s">
        <v>961</v>
      </c>
      <c r="E204" s="1">
        <v>2</v>
      </c>
      <c r="F204" s="1" t="s">
        <v>960</v>
      </c>
      <c r="G204" s="1" t="s">
        <v>522</v>
      </c>
      <c r="H204" s="1" t="s">
        <v>1958</v>
      </c>
      <c r="I204" s="194" t="s">
        <v>2182</v>
      </c>
      <c r="J204" s="186" t="s">
        <v>2627</v>
      </c>
    </row>
    <row r="205" spans="1:10" ht="15" customHeight="1" x14ac:dyDescent="0.3">
      <c r="A205" s="65" t="s">
        <v>969</v>
      </c>
      <c r="B205" t="s">
        <v>1961</v>
      </c>
      <c r="C205" s="58" t="s">
        <v>12</v>
      </c>
      <c r="D205" s="1" t="s">
        <v>961</v>
      </c>
      <c r="E205" s="1">
        <v>1</v>
      </c>
      <c r="F205" s="1" t="s">
        <v>10</v>
      </c>
      <c r="G205" s="1" t="s">
        <v>522</v>
      </c>
      <c r="H205" s="1" t="s">
        <v>1932</v>
      </c>
      <c r="I205" s="194" t="s">
        <v>2183</v>
      </c>
      <c r="J205" s="186" t="s">
        <v>2628</v>
      </c>
    </row>
    <row r="206" spans="1:10" ht="15" customHeight="1" x14ac:dyDescent="0.3">
      <c r="A206" s="65" t="s">
        <v>969</v>
      </c>
      <c r="B206" t="s">
        <v>1963</v>
      </c>
      <c r="C206" s="58" t="s">
        <v>12</v>
      </c>
      <c r="D206" s="1" t="s">
        <v>961</v>
      </c>
      <c r="E206" s="1">
        <v>1</v>
      </c>
      <c r="F206" s="1" t="s">
        <v>10</v>
      </c>
      <c r="G206" s="1" t="s">
        <v>522</v>
      </c>
      <c r="H206" s="1" t="s">
        <v>1932</v>
      </c>
      <c r="I206" s="194" t="s">
        <v>2184</v>
      </c>
      <c r="J206" s="186" t="s">
        <v>2629</v>
      </c>
    </row>
    <row r="207" spans="1:10" ht="15" customHeight="1" x14ac:dyDescent="0.3">
      <c r="A207" s="65" t="s">
        <v>969</v>
      </c>
      <c r="B207" t="s">
        <v>1964</v>
      </c>
      <c r="C207" s="58" t="s">
        <v>1728</v>
      </c>
      <c r="D207" s="1" t="s">
        <v>953</v>
      </c>
      <c r="E207" s="1">
        <v>1</v>
      </c>
      <c r="F207" s="1" t="s">
        <v>960</v>
      </c>
      <c r="G207" s="1" t="s">
        <v>522</v>
      </c>
      <c r="H207" s="1" t="s">
        <v>1932</v>
      </c>
      <c r="I207" s="194" t="s">
        <v>2182</v>
      </c>
      <c r="J207" s="186" t="s">
        <v>2630</v>
      </c>
    </row>
    <row r="208" spans="1:10" ht="15" customHeight="1" x14ac:dyDescent="0.3">
      <c r="A208" s="65" t="s">
        <v>969</v>
      </c>
      <c r="B208" t="s">
        <v>1965</v>
      </c>
      <c r="C208" s="58" t="s">
        <v>12</v>
      </c>
      <c r="D208" s="1" t="s">
        <v>953</v>
      </c>
      <c r="E208" s="1">
        <v>1</v>
      </c>
      <c r="F208" s="1" t="s">
        <v>954</v>
      </c>
      <c r="G208" s="1" t="s">
        <v>522</v>
      </c>
      <c r="H208" s="1" t="s">
        <v>1838</v>
      </c>
      <c r="I208" s="194" t="s">
        <v>2185</v>
      </c>
      <c r="J208" s="186" t="s">
        <v>2631</v>
      </c>
    </row>
    <row r="209" spans="1:10" ht="15" customHeight="1" x14ac:dyDescent="0.3">
      <c r="A209" s="65" t="s">
        <v>969</v>
      </c>
      <c r="B209" t="s">
        <v>1966</v>
      </c>
      <c r="C209" s="58" t="s">
        <v>1728</v>
      </c>
      <c r="D209" s="1" t="s">
        <v>961</v>
      </c>
      <c r="E209" s="1">
        <v>2</v>
      </c>
      <c r="F209" s="1" t="s">
        <v>960</v>
      </c>
      <c r="G209" s="1" t="s">
        <v>522</v>
      </c>
      <c r="H209" s="1" t="s">
        <v>1958</v>
      </c>
      <c r="I209" s="194" t="s">
        <v>2185</v>
      </c>
      <c r="J209" s="186" t="s">
        <v>2632</v>
      </c>
    </row>
    <row r="210" spans="1:10" ht="15" customHeight="1" x14ac:dyDescent="0.3">
      <c r="A210" s="65" t="s">
        <v>969</v>
      </c>
      <c r="B210" t="s">
        <v>1967</v>
      </c>
      <c r="C210" s="58" t="s">
        <v>1728</v>
      </c>
      <c r="D210" s="1" t="s">
        <v>953</v>
      </c>
      <c r="E210" s="1">
        <v>1</v>
      </c>
      <c r="F210" s="1" t="s">
        <v>1941</v>
      </c>
      <c r="G210" s="1" t="s">
        <v>522</v>
      </c>
      <c r="H210" s="1" t="s">
        <v>958</v>
      </c>
      <c r="I210" s="194" t="s">
        <v>2186</v>
      </c>
      <c r="J210" s="186" t="s">
        <v>2633</v>
      </c>
    </row>
    <row r="211" spans="1:10" ht="15" customHeight="1" x14ac:dyDescent="0.3">
      <c r="A211" s="65" t="s">
        <v>969</v>
      </c>
      <c r="B211" t="s">
        <v>1968</v>
      </c>
      <c r="C211" s="58" t="s">
        <v>959</v>
      </c>
      <c r="D211" s="1" t="s">
        <v>953</v>
      </c>
      <c r="E211" s="1">
        <v>1</v>
      </c>
      <c r="F211" s="1" t="s">
        <v>1941</v>
      </c>
      <c r="G211" s="1" t="s">
        <v>522</v>
      </c>
      <c r="H211" s="1" t="s">
        <v>1932</v>
      </c>
      <c r="I211" s="194" t="s">
        <v>2186</v>
      </c>
      <c r="J211" s="186" t="s">
        <v>2634</v>
      </c>
    </row>
    <row r="212" spans="1:10" ht="15" customHeight="1" x14ac:dyDescent="0.3">
      <c r="A212" s="65" t="s">
        <v>969</v>
      </c>
      <c r="B212" t="s">
        <v>1969</v>
      </c>
      <c r="C212" s="58" t="s">
        <v>1728</v>
      </c>
      <c r="D212" s="1" t="s">
        <v>953</v>
      </c>
      <c r="E212" s="1">
        <v>1</v>
      </c>
      <c r="F212" s="1" t="s">
        <v>960</v>
      </c>
      <c r="G212" s="1" t="s">
        <v>522</v>
      </c>
      <c r="H212" s="1" t="s">
        <v>1937</v>
      </c>
      <c r="I212" s="194" t="s">
        <v>2187</v>
      </c>
      <c r="J212" s="186" t="s">
        <v>2635</v>
      </c>
    </row>
    <row r="213" spans="1:10" ht="15" customHeight="1" x14ac:dyDescent="0.3">
      <c r="A213" s="65" t="s">
        <v>969</v>
      </c>
      <c r="B213" t="s">
        <v>1970</v>
      </c>
      <c r="C213" s="58" t="s">
        <v>11</v>
      </c>
      <c r="D213" s="1" t="s">
        <v>953</v>
      </c>
      <c r="E213" s="1">
        <v>1</v>
      </c>
      <c r="F213" s="1" t="s">
        <v>1949</v>
      </c>
      <c r="G213" s="1" t="s">
        <v>522</v>
      </c>
      <c r="H213" s="1" t="s">
        <v>1818</v>
      </c>
      <c r="I213" s="194" t="s">
        <v>2187</v>
      </c>
      <c r="J213" s="186" t="s">
        <v>2636</v>
      </c>
    </row>
    <row r="214" spans="1:10" ht="15" customHeight="1" x14ac:dyDescent="0.3">
      <c r="A214" s="65" t="s">
        <v>969</v>
      </c>
      <c r="B214" t="s">
        <v>1971</v>
      </c>
      <c r="C214" s="58" t="s">
        <v>12</v>
      </c>
      <c r="D214" s="1" t="s">
        <v>962</v>
      </c>
      <c r="E214" s="1">
        <v>2</v>
      </c>
      <c r="F214" s="1" t="s">
        <v>10</v>
      </c>
      <c r="G214" s="1" t="s">
        <v>522</v>
      </c>
      <c r="H214" s="1" t="s">
        <v>1932</v>
      </c>
      <c r="I214" s="194" t="s">
        <v>2188</v>
      </c>
      <c r="J214" s="186" t="s">
        <v>2637</v>
      </c>
    </row>
    <row r="215" spans="1:10" ht="15" customHeight="1" x14ac:dyDescent="0.3">
      <c r="A215" s="65" t="s">
        <v>969</v>
      </c>
      <c r="B215" t="s">
        <v>1972</v>
      </c>
      <c r="C215" s="58" t="s">
        <v>12</v>
      </c>
      <c r="D215" s="1" t="s">
        <v>961</v>
      </c>
      <c r="E215" s="1" t="s">
        <v>1825</v>
      </c>
      <c r="F215" s="1" t="s">
        <v>960</v>
      </c>
      <c r="G215" s="1" t="s">
        <v>522</v>
      </c>
      <c r="H215" s="1" t="s">
        <v>1932</v>
      </c>
      <c r="I215" s="194" t="s">
        <v>2188</v>
      </c>
      <c r="J215" s="186" t="s">
        <v>2638</v>
      </c>
    </row>
    <row r="216" spans="1:10" ht="15" customHeight="1" x14ac:dyDescent="0.3">
      <c r="A216" s="65" t="s">
        <v>969</v>
      </c>
      <c r="B216" t="s">
        <v>1973</v>
      </c>
      <c r="C216" s="58" t="s">
        <v>12</v>
      </c>
      <c r="D216" s="1" t="s">
        <v>953</v>
      </c>
      <c r="E216" s="1">
        <v>1</v>
      </c>
      <c r="F216" s="1" t="s">
        <v>10</v>
      </c>
      <c r="G216" s="1" t="s">
        <v>522</v>
      </c>
      <c r="H216" s="1" t="s">
        <v>1838</v>
      </c>
      <c r="I216" s="194" t="s">
        <v>2188</v>
      </c>
      <c r="J216" s="186" t="s">
        <v>2639</v>
      </c>
    </row>
    <row r="217" spans="1:10" ht="15" customHeight="1" x14ac:dyDescent="0.3">
      <c r="A217" s="65" t="s">
        <v>969</v>
      </c>
      <c r="B217" t="s">
        <v>1974</v>
      </c>
      <c r="C217" s="58" t="s">
        <v>959</v>
      </c>
      <c r="D217" s="1" t="s">
        <v>961</v>
      </c>
      <c r="E217" s="1">
        <v>2</v>
      </c>
      <c r="F217" s="1" t="s">
        <v>960</v>
      </c>
      <c r="G217" s="1" t="s">
        <v>522</v>
      </c>
      <c r="H217" s="1" t="s">
        <v>1932</v>
      </c>
      <c r="I217" s="194" t="s">
        <v>2189</v>
      </c>
      <c r="J217" s="186" t="s">
        <v>2640</v>
      </c>
    </row>
    <row r="218" spans="1:10" ht="15" customHeight="1" x14ac:dyDescent="0.3">
      <c r="A218" s="65" t="s">
        <v>969</v>
      </c>
      <c r="B218" t="s">
        <v>1975</v>
      </c>
      <c r="C218" s="58" t="s">
        <v>959</v>
      </c>
      <c r="D218" s="1" t="s">
        <v>953</v>
      </c>
      <c r="E218" s="1">
        <v>1</v>
      </c>
      <c r="F218" s="1" t="s">
        <v>960</v>
      </c>
      <c r="G218" s="1" t="s">
        <v>522</v>
      </c>
      <c r="H218" s="1" t="s">
        <v>1731</v>
      </c>
      <c r="I218" s="194" t="s">
        <v>2189</v>
      </c>
      <c r="J218" s="186" t="s">
        <v>2641</v>
      </c>
    </row>
    <row r="219" spans="1:10" ht="15" customHeight="1" x14ac:dyDescent="0.3">
      <c r="A219" s="65" t="s">
        <v>969</v>
      </c>
      <c r="B219" t="s">
        <v>1976</v>
      </c>
      <c r="C219" s="58" t="s">
        <v>12</v>
      </c>
      <c r="D219" s="1" t="s">
        <v>953</v>
      </c>
      <c r="E219" s="1">
        <v>1</v>
      </c>
      <c r="F219" s="1" t="s">
        <v>1941</v>
      </c>
      <c r="G219" s="1" t="s">
        <v>522</v>
      </c>
      <c r="H219" s="1" t="s">
        <v>1838</v>
      </c>
      <c r="I219" s="194" t="s">
        <v>2190</v>
      </c>
      <c r="J219" s="186" t="s">
        <v>2642</v>
      </c>
    </row>
    <row r="220" spans="1:10" ht="15" customHeight="1" x14ac:dyDescent="0.3">
      <c r="A220" s="65" t="s">
        <v>969</v>
      </c>
      <c r="B220" t="s">
        <v>1977</v>
      </c>
      <c r="C220" s="58" t="s">
        <v>1728</v>
      </c>
      <c r="D220" s="1" t="s">
        <v>953</v>
      </c>
      <c r="E220" s="1">
        <v>1</v>
      </c>
      <c r="F220" s="1" t="s">
        <v>960</v>
      </c>
      <c r="G220" s="1" t="s">
        <v>522</v>
      </c>
      <c r="H220" s="1" t="s">
        <v>1932</v>
      </c>
      <c r="I220" s="194" t="s">
        <v>2743</v>
      </c>
      <c r="J220" s="186" t="s">
        <v>2643</v>
      </c>
    </row>
    <row r="221" spans="1:10" ht="15" customHeight="1" x14ac:dyDescent="0.3">
      <c r="A221" s="65" t="s">
        <v>969</v>
      </c>
      <c r="B221" t="s">
        <v>2192</v>
      </c>
      <c r="C221" s="58" t="s">
        <v>1728</v>
      </c>
      <c r="D221" s="1" t="s">
        <v>961</v>
      </c>
      <c r="E221" s="1" t="s">
        <v>1825</v>
      </c>
      <c r="F221" s="1" t="s">
        <v>960</v>
      </c>
      <c r="G221" s="1" t="s">
        <v>522</v>
      </c>
      <c r="H221" s="1" t="s">
        <v>1932</v>
      </c>
      <c r="I221" s="194" t="s">
        <v>2191</v>
      </c>
      <c r="J221" s="186" t="s">
        <v>2644</v>
      </c>
    </row>
    <row r="222" spans="1:10" ht="15" customHeight="1" x14ac:dyDescent="0.3">
      <c r="A222" s="65" t="s">
        <v>969</v>
      </c>
      <c r="B222" t="s">
        <v>1979</v>
      </c>
      <c r="C222" s="58" t="s">
        <v>12</v>
      </c>
      <c r="D222" s="1" t="s">
        <v>961</v>
      </c>
      <c r="E222" s="1" t="s">
        <v>1825</v>
      </c>
      <c r="F222" s="1" t="s">
        <v>960</v>
      </c>
      <c r="G222" s="1" t="s">
        <v>522</v>
      </c>
      <c r="H222" s="1" t="s">
        <v>1932</v>
      </c>
      <c r="I222" s="194" t="s">
        <v>2191</v>
      </c>
      <c r="J222" s="186" t="s">
        <v>2640</v>
      </c>
    </row>
    <row r="223" spans="1:10" ht="15" customHeight="1" x14ac:dyDescent="0.3">
      <c r="A223" s="65" t="s">
        <v>969</v>
      </c>
      <c r="B223" t="s">
        <v>1980</v>
      </c>
      <c r="C223" s="58" t="s">
        <v>959</v>
      </c>
      <c r="D223" s="1" t="s">
        <v>953</v>
      </c>
      <c r="E223" s="1" t="s">
        <v>1740</v>
      </c>
      <c r="F223" s="1" t="s">
        <v>1951</v>
      </c>
      <c r="G223" s="1" t="s">
        <v>522</v>
      </c>
      <c r="H223" s="1" t="s">
        <v>1981</v>
      </c>
      <c r="I223" s="194" t="s">
        <v>2193</v>
      </c>
      <c r="J223" s="65" t="s">
        <v>2647</v>
      </c>
    </row>
    <row r="224" spans="1:10" ht="15" customHeight="1" x14ac:dyDescent="0.3">
      <c r="A224" s="65" t="s">
        <v>969</v>
      </c>
      <c r="B224" t="s">
        <v>1982</v>
      </c>
      <c r="C224" s="58" t="s">
        <v>12</v>
      </c>
      <c r="D224" s="1" t="s">
        <v>953</v>
      </c>
      <c r="E224" s="1">
        <v>1</v>
      </c>
      <c r="F224" s="1" t="s">
        <v>1817</v>
      </c>
      <c r="G224" s="1" t="s">
        <v>522</v>
      </c>
      <c r="H224" s="1" t="s">
        <v>1932</v>
      </c>
      <c r="I224" s="194" t="s">
        <v>2194</v>
      </c>
      <c r="J224" s="186" t="s">
        <v>2645</v>
      </c>
    </row>
    <row r="225" spans="1:10" ht="15" customHeight="1" x14ac:dyDescent="0.3">
      <c r="A225" s="65" t="s">
        <v>969</v>
      </c>
      <c r="B225" t="s">
        <v>1983</v>
      </c>
      <c r="C225" s="58" t="s">
        <v>12</v>
      </c>
      <c r="D225" s="1" t="s">
        <v>953</v>
      </c>
      <c r="E225" s="1">
        <v>1</v>
      </c>
      <c r="F225" s="1" t="s">
        <v>1951</v>
      </c>
      <c r="G225" s="1" t="s">
        <v>522</v>
      </c>
      <c r="H225" s="1" t="s">
        <v>1731</v>
      </c>
      <c r="I225" s="194" t="s">
        <v>2194</v>
      </c>
      <c r="J225" s="186" t="s">
        <v>2646</v>
      </c>
    </row>
    <row r="226" spans="1:10" ht="15" customHeight="1" x14ac:dyDescent="0.3">
      <c r="A226" s="65" t="s">
        <v>969</v>
      </c>
      <c r="B226" t="s">
        <v>1984</v>
      </c>
      <c r="C226" s="58" t="s">
        <v>1728</v>
      </c>
      <c r="D226" s="1" t="s">
        <v>961</v>
      </c>
      <c r="E226" s="1">
        <v>1</v>
      </c>
      <c r="F226" s="1" t="s">
        <v>960</v>
      </c>
      <c r="G226" s="1" t="s">
        <v>522</v>
      </c>
      <c r="H226" s="1" t="s">
        <v>1978</v>
      </c>
      <c r="I226" s="194" t="s">
        <v>2194</v>
      </c>
      <c r="J226" s="186" t="s">
        <v>2648</v>
      </c>
    </row>
    <row r="227" spans="1:10" ht="15" customHeight="1" x14ac:dyDescent="0.3">
      <c r="A227" s="65" t="s">
        <v>969</v>
      </c>
      <c r="B227" t="s">
        <v>1985</v>
      </c>
      <c r="C227" s="58" t="s">
        <v>1728</v>
      </c>
      <c r="D227" s="1" t="s">
        <v>961</v>
      </c>
      <c r="E227" s="1">
        <v>1</v>
      </c>
      <c r="F227" s="1" t="s">
        <v>1951</v>
      </c>
      <c r="G227" s="1" t="s">
        <v>522</v>
      </c>
      <c r="H227" s="1" t="s">
        <v>1731</v>
      </c>
      <c r="I227" s="194" t="s">
        <v>2195</v>
      </c>
      <c r="J227" s="186" t="s">
        <v>2649</v>
      </c>
    </row>
    <row r="228" spans="1:10" ht="15" customHeight="1" x14ac:dyDescent="0.3">
      <c r="A228" s="65" t="s">
        <v>969</v>
      </c>
      <c r="B228" t="s">
        <v>1986</v>
      </c>
      <c r="C228" s="58" t="s">
        <v>1728</v>
      </c>
      <c r="D228" s="1" t="s">
        <v>962</v>
      </c>
      <c r="E228" s="1" t="s">
        <v>1955</v>
      </c>
      <c r="F228" s="1" t="s">
        <v>1951</v>
      </c>
      <c r="G228" s="1" t="s">
        <v>522</v>
      </c>
      <c r="H228" s="1" t="s">
        <v>1731</v>
      </c>
      <c r="I228" s="194" t="s">
        <v>2195</v>
      </c>
      <c r="J228" s="186" t="s">
        <v>2650</v>
      </c>
    </row>
    <row r="229" spans="1:10" ht="15" customHeight="1" x14ac:dyDescent="0.3">
      <c r="A229" s="65" t="s">
        <v>969</v>
      </c>
      <c r="B229" t="s">
        <v>1987</v>
      </c>
      <c r="C229" s="58" t="s">
        <v>1728</v>
      </c>
      <c r="D229" s="1" t="s">
        <v>961</v>
      </c>
      <c r="E229" s="1" t="s">
        <v>1888</v>
      </c>
      <c r="F229" s="1" t="s">
        <v>2472</v>
      </c>
      <c r="G229" s="1" t="s">
        <v>522</v>
      </c>
      <c r="H229" s="1" t="s">
        <v>958</v>
      </c>
      <c r="I229" s="194" t="s">
        <v>2196</v>
      </c>
      <c r="J229" s="186" t="s">
        <v>2651</v>
      </c>
    </row>
    <row r="230" spans="1:10" ht="15" customHeight="1" x14ac:dyDescent="0.3">
      <c r="A230" s="65" t="s">
        <v>969</v>
      </c>
      <c r="B230" t="s">
        <v>1988</v>
      </c>
      <c r="C230" s="58" t="s">
        <v>1728</v>
      </c>
      <c r="D230" s="1" t="s">
        <v>961</v>
      </c>
      <c r="E230" s="1">
        <v>1</v>
      </c>
      <c r="F230" s="1" t="s">
        <v>1941</v>
      </c>
      <c r="G230" s="1" t="s">
        <v>522</v>
      </c>
      <c r="H230" s="1" t="s">
        <v>1932</v>
      </c>
      <c r="I230" s="194" t="s">
        <v>2196</v>
      </c>
      <c r="J230" s="186" t="s">
        <v>2652</v>
      </c>
    </row>
    <row r="231" spans="1:10" ht="15" customHeight="1" x14ac:dyDescent="0.3">
      <c r="A231" s="65" t="s">
        <v>969</v>
      </c>
      <c r="B231" t="s">
        <v>2197</v>
      </c>
      <c r="C231" s="58" t="s">
        <v>1728</v>
      </c>
      <c r="D231" s="1" t="s">
        <v>953</v>
      </c>
      <c r="E231" s="1">
        <v>1</v>
      </c>
      <c r="F231" s="1" t="s">
        <v>960</v>
      </c>
      <c r="G231" s="1" t="s">
        <v>522</v>
      </c>
      <c r="H231" s="1" t="s">
        <v>1989</v>
      </c>
      <c r="I231" s="194" t="s">
        <v>2198</v>
      </c>
      <c r="J231" s="186" t="s">
        <v>2653</v>
      </c>
    </row>
    <row r="232" spans="1:10" ht="15" customHeight="1" x14ac:dyDescent="0.3">
      <c r="A232" s="65" t="s">
        <v>969</v>
      </c>
      <c r="B232" t="s">
        <v>2761</v>
      </c>
      <c r="C232" s="58" t="s">
        <v>1728</v>
      </c>
      <c r="D232" s="1" t="s">
        <v>961</v>
      </c>
      <c r="E232" s="1">
        <v>1</v>
      </c>
      <c r="F232" s="1" t="s">
        <v>2762</v>
      </c>
      <c r="G232" s="1" t="s">
        <v>522</v>
      </c>
      <c r="H232" s="1" t="s">
        <v>958</v>
      </c>
      <c r="I232" s="194" t="s">
        <v>2763</v>
      </c>
      <c r="J232" s="186" t="s">
        <v>2765</v>
      </c>
    </row>
    <row r="233" spans="1:10" ht="15" customHeight="1" x14ac:dyDescent="0.3">
      <c r="A233" s="65" t="s">
        <v>969</v>
      </c>
      <c r="B233" t="s">
        <v>1990</v>
      </c>
      <c r="C233" s="58" t="s">
        <v>1728</v>
      </c>
      <c r="D233" s="1" t="s">
        <v>953</v>
      </c>
      <c r="E233" s="1">
        <v>2</v>
      </c>
      <c r="F233" s="1" t="s">
        <v>954</v>
      </c>
      <c r="G233" s="1" t="s">
        <v>522</v>
      </c>
      <c r="H233" s="1" t="s">
        <v>958</v>
      </c>
      <c r="I233" s="194" t="s">
        <v>2199</v>
      </c>
      <c r="J233" s="186" t="s">
        <v>2764</v>
      </c>
    </row>
    <row r="234" spans="1:10" ht="15" customHeight="1" x14ac:dyDescent="0.3">
      <c r="A234" s="65" t="s">
        <v>969</v>
      </c>
      <c r="B234" t="s">
        <v>1991</v>
      </c>
      <c r="C234" s="58" t="s">
        <v>1728</v>
      </c>
      <c r="D234" s="1" t="s">
        <v>953</v>
      </c>
      <c r="E234" s="1">
        <v>2</v>
      </c>
      <c r="F234" s="1" t="s">
        <v>10</v>
      </c>
      <c r="G234" s="1" t="s">
        <v>522</v>
      </c>
      <c r="H234" s="1" t="s">
        <v>1989</v>
      </c>
      <c r="I234" s="194" t="s">
        <v>2200</v>
      </c>
      <c r="J234" s="186" t="s">
        <v>2654</v>
      </c>
    </row>
    <row r="235" spans="1:10" ht="15" customHeight="1" x14ac:dyDescent="0.3">
      <c r="A235" s="65" t="s">
        <v>969</v>
      </c>
      <c r="B235" t="s">
        <v>5003</v>
      </c>
      <c r="C235" s="58" t="s">
        <v>1728</v>
      </c>
      <c r="D235" s="1" t="s">
        <v>961</v>
      </c>
      <c r="E235" s="1">
        <v>1</v>
      </c>
      <c r="F235" s="1" t="s">
        <v>1941</v>
      </c>
      <c r="G235" s="1" t="s">
        <v>522</v>
      </c>
      <c r="H235" s="1" t="s">
        <v>1978</v>
      </c>
      <c r="I235" s="194" t="s">
        <v>5001</v>
      </c>
      <c r="J235" s="186" t="s">
        <v>5004</v>
      </c>
    </row>
    <row r="236" spans="1:10" ht="15" customHeight="1" x14ac:dyDescent="0.3">
      <c r="A236" s="65" t="s">
        <v>969</v>
      </c>
      <c r="B236" t="s">
        <v>1992</v>
      </c>
      <c r="C236" s="58" t="s">
        <v>12</v>
      </c>
      <c r="D236" s="1" t="s">
        <v>961</v>
      </c>
      <c r="E236" s="1">
        <v>2</v>
      </c>
      <c r="F236" s="1" t="s">
        <v>10</v>
      </c>
      <c r="G236" s="1" t="s">
        <v>522</v>
      </c>
      <c r="H236" s="1" t="s">
        <v>1932</v>
      </c>
      <c r="I236" s="194" t="s">
        <v>2201</v>
      </c>
      <c r="J236" s="186" t="s">
        <v>2655</v>
      </c>
    </row>
    <row r="237" spans="1:10" ht="15" customHeight="1" x14ac:dyDescent="0.3">
      <c r="A237" s="65" t="s">
        <v>969</v>
      </c>
      <c r="B237" t="s">
        <v>1993</v>
      </c>
      <c r="C237" s="58" t="s">
        <v>959</v>
      </c>
      <c r="D237" s="1" t="s">
        <v>961</v>
      </c>
      <c r="E237" s="1">
        <v>3</v>
      </c>
      <c r="F237" s="1" t="s">
        <v>1817</v>
      </c>
      <c r="G237" s="1" t="s">
        <v>522</v>
      </c>
      <c r="H237" s="1" t="s">
        <v>1994</v>
      </c>
      <c r="I237" s="194" t="s">
        <v>2201</v>
      </c>
      <c r="J237" s="186" t="s">
        <v>2656</v>
      </c>
    </row>
    <row r="238" spans="1:10" ht="15" customHeight="1" x14ac:dyDescent="0.3">
      <c r="A238" s="65" t="s">
        <v>969</v>
      </c>
      <c r="B238" t="s">
        <v>1995</v>
      </c>
      <c r="C238" s="58" t="s">
        <v>12</v>
      </c>
      <c r="D238" s="1" t="s">
        <v>961</v>
      </c>
      <c r="E238" s="1">
        <v>1</v>
      </c>
      <c r="F238" s="1" t="s">
        <v>1814</v>
      </c>
      <c r="G238" s="1" t="s">
        <v>522</v>
      </c>
      <c r="H238" s="1" t="s">
        <v>958</v>
      </c>
      <c r="I238" s="194" t="s">
        <v>2202</v>
      </c>
      <c r="J238" s="186" t="s">
        <v>2657</v>
      </c>
    </row>
    <row r="239" spans="1:10" ht="15" customHeight="1" x14ac:dyDescent="0.3">
      <c r="A239" s="65" t="s">
        <v>969</v>
      </c>
      <c r="B239" t="s">
        <v>1996</v>
      </c>
      <c r="C239" s="58" t="s">
        <v>12</v>
      </c>
      <c r="D239" s="1" t="s">
        <v>953</v>
      </c>
      <c r="E239" s="1">
        <v>1</v>
      </c>
      <c r="F239" s="1" t="s">
        <v>1941</v>
      </c>
      <c r="G239" s="1" t="s">
        <v>522</v>
      </c>
      <c r="H239" s="1" t="s">
        <v>1838</v>
      </c>
      <c r="I239" s="194" t="s">
        <v>2202</v>
      </c>
      <c r="J239" s="186" t="s">
        <v>2658</v>
      </c>
    </row>
    <row r="240" spans="1:10" ht="15" customHeight="1" x14ac:dyDescent="0.3">
      <c r="A240" s="65" t="s">
        <v>969</v>
      </c>
      <c r="B240" t="s">
        <v>2000</v>
      </c>
      <c r="C240" s="58" t="s">
        <v>1728</v>
      </c>
      <c r="D240" s="1" t="s">
        <v>953</v>
      </c>
      <c r="E240" s="1">
        <v>1</v>
      </c>
      <c r="F240" s="1" t="s">
        <v>960</v>
      </c>
      <c r="G240" s="1" t="s">
        <v>522</v>
      </c>
      <c r="H240" s="1" t="s">
        <v>958</v>
      </c>
      <c r="I240" s="194" t="s">
        <v>2203</v>
      </c>
      <c r="J240" s="186" t="s">
        <v>2659</v>
      </c>
    </row>
    <row r="241" spans="1:10" ht="15" customHeight="1" x14ac:dyDescent="0.3">
      <c r="A241" s="65" t="s">
        <v>969</v>
      </c>
      <c r="B241" t="s">
        <v>2001</v>
      </c>
      <c r="C241" s="58" t="s">
        <v>12</v>
      </c>
      <c r="D241" s="1" t="s">
        <v>961</v>
      </c>
      <c r="E241" s="1">
        <v>1</v>
      </c>
      <c r="F241" s="1" t="s">
        <v>10</v>
      </c>
      <c r="G241" s="1" t="s">
        <v>522</v>
      </c>
      <c r="H241" s="1" t="s">
        <v>1731</v>
      </c>
      <c r="I241" s="194" t="s">
        <v>2203</v>
      </c>
      <c r="J241" s="186" t="s">
        <v>2660</v>
      </c>
    </row>
    <row r="242" spans="1:10" ht="15" customHeight="1" x14ac:dyDescent="0.3">
      <c r="A242" s="65" t="s">
        <v>969</v>
      </c>
      <c r="B242" t="s">
        <v>2002</v>
      </c>
      <c r="C242" s="58" t="s">
        <v>12</v>
      </c>
      <c r="D242" s="1" t="s">
        <v>961</v>
      </c>
      <c r="E242" s="1">
        <v>1</v>
      </c>
      <c r="F242" s="1" t="s">
        <v>10</v>
      </c>
      <c r="G242" s="1" t="s">
        <v>522</v>
      </c>
      <c r="H242" s="1" t="s">
        <v>1731</v>
      </c>
      <c r="I242" s="194" t="s">
        <v>2203</v>
      </c>
      <c r="J242" s="186" t="s">
        <v>2661</v>
      </c>
    </row>
    <row r="243" spans="1:10" ht="15" customHeight="1" x14ac:dyDescent="0.3">
      <c r="A243" s="65" t="s">
        <v>969</v>
      </c>
      <c r="B243" t="s">
        <v>2003</v>
      </c>
      <c r="C243" s="58" t="s">
        <v>11</v>
      </c>
      <c r="D243" s="1" t="s">
        <v>953</v>
      </c>
      <c r="E243" s="1">
        <v>2</v>
      </c>
      <c r="F243" s="1" t="s">
        <v>2004</v>
      </c>
      <c r="G243" s="1" t="s">
        <v>522</v>
      </c>
      <c r="H243" s="1" t="s">
        <v>958</v>
      </c>
      <c r="I243" s="194" t="s">
        <v>2204</v>
      </c>
      <c r="J243" s="186" t="s">
        <v>2662</v>
      </c>
    </row>
    <row r="244" spans="1:10" ht="15" customHeight="1" x14ac:dyDescent="0.3">
      <c r="A244" s="65" t="s">
        <v>969</v>
      </c>
      <c r="B244" t="s">
        <v>2005</v>
      </c>
      <c r="C244" s="58" t="s">
        <v>11</v>
      </c>
      <c r="D244" s="1" t="s">
        <v>1938</v>
      </c>
      <c r="E244" s="1" t="s">
        <v>2006</v>
      </c>
      <c r="F244" s="1" t="s">
        <v>960</v>
      </c>
      <c r="G244" s="1" t="s">
        <v>522</v>
      </c>
      <c r="H244" s="1" t="s">
        <v>958</v>
      </c>
      <c r="I244" s="194" t="s">
        <v>2205</v>
      </c>
      <c r="J244" s="186" t="s">
        <v>2663</v>
      </c>
    </row>
    <row r="245" spans="1:10" ht="15" customHeight="1" x14ac:dyDescent="0.3">
      <c r="A245" s="65" t="s">
        <v>969</v>
      </c>
      <c r="B245" t="s">
        <v>1962</v>
      </c>
      <c r="C245" s="58" t="s">
        <v>959</v>
      </c>
      <c r="D245" s="1" t="s">
        <v>961</v>
      </c>
      <c r="E245" s="1">
        <v>1</v>
      </c>
      <c r="F245" s="1" t="s">
        <v>2066</v>
      </c>
      <c r="G245" s="1" t="s">
        <v>522</v>
      </c>
      <c r="H245" s="1" t="s">
        <v>958</v>
      </c>
      <c r="I245" s="194" t="s">
        <v>2752</v>
      </c>
      <c r="J245" s="65" t="s">
        <v>2750</v>
      </c>
    </row>
    <row r="246" spans="1:10" ht="15" customHeight="1" x14ac:dyDescent="0.3">
      <c r="A246" s="65" t="s">
        <v>969</v>
      </c>
      <c r="B246" t="s">
        <v>2007</v>
      </c>
      <c r="C246" s="58" t="s">
        <v>12</v>
      </c>
      <c r="D246" s="1" t="s">
        <v>953</v>
      </c>
      <c r="E246" s="1">
        <v>1</v>
      </c>
      <c r="F246" s="1" t="s">
        <v>960</v>
      </c>
      <c r="G246" s="1" t="s">
        <v>522</v>
      </c>
      <c r="H246" s="1" t="s">
        <v>958</v>
      </c>
      <c r="I246" s="194" t="s">
        <v>2206</v>
      </c>
      <c r="J246" s="186" t="s">
        <v>2664</v>
      </c>
    </row>
    <row r="247" spans="1:10" ht="15" customHeight="1" x14ac:dyDescent="0.3">
      <c r="A247" s="65" t="s">
        <v>969</v>
      </c>
      <c r="B247" t="s">
        <v>2207</v>
      </c>
      <c r="C247" s="58" t="s">
        <v>959</v>
      </c>
      <c r="D247" s="1" t="s">
        <v>1938</v>
      </c>
      <c r="E247" s="1">
        <v>2</v>
      </c>
      <c r="F247" s="1" t="s">
        <v>10</v>
      </c>
      <c r="G247" s="1" t="s">
        <v>522</v>
      </c>
      <c r="H247" s="1" t="s">
        <v>2008</v>
      </c>
      <c r="I247" s="194" t="s">
        <v>2208</v>
      </c>
      <c r="J247" s="186" t="s">
        <v>2665</v>
      </c>
    </row>
    <row r="248" spans="1:10" ht="15" customHeight="1" x14ac:dyDescent="0.3">
      <c r="A248" s="65" t="s">
        <v>969</v>
      </c>
      <c r="B248" t="s">
        <v>2009</v>
      </c>
      <c r="C248" s="58" t="s">
        <v>959</v>
      </c>
      <c r="D248" s="1" t="s">
        <v>962</v>
      </c>
      <c r="E248" s="1">
        <v>2</v>
      </c>
      <c r="F248" s="1" t="s">
        <v>10</v>
      </c>
      <c r="G248" s="1" t="s">
        <v>522</v>
      </c>
      <c r="H248" s="1" t="s">
        <v>1994</v>
      </c>
      <c r="I248" s="194" t="s">
        <v>2209</v>
      </c>
      <c r="J248" s="186" t="s">
        <v>2666</v>
      </c>
    </row>
    <row r="249" spans="1:10" ht="15" customHeight="1" x14ac:dyDescent="0.3">
      <c r="A249" s="65" t="s">
        <v>969</v>
      </c>
      <c r="B249" t="s">
        <v>2010</v>
      </c>
      <c r="C249" s="58" t="s">
        <v>1728</v>
      </c>
      <c r="D249" s="1" t="s">
        <v>1938</v>
      </c>
      <c r="E249" s="1">
        <v>1</v>
      </c>
      <c r="F249" s="1" t="s">
        <v>960</v>
      </c>
      <c r="G249" s="1" t="s">
        <v>522</v>
      </c>
      <c r="H249" s="1" t="s">
        <v>1731</v>
      </c>
      <c r="I249" s="194" t="s">
        <v>2210</v>
      </c>
      <c r="J249" s="186" t="s">
        <v>2667</v>
      </c>
    </row>
    <row r="250" spans="1:10" ht="15" customHeight="1" x14ac:dyDescent="0.3">
      <c r="A250" s="65" t="s">
        <v>969</v>
      </c>
      <c r="B250" t="s">
        <v>2011</v>
      </c>
      <c r="C250" s="58" t="s">
        <v>13</v>
      </c>
      <c r="D250" s="1" t="s">
        <v>953</v>
      </c>
      <c r="E250" s="1">
        <v>1</v>
      </c>
      <c r="F250" s="1" t="s">
        <v>10</v>
      </c>
      <c r="G250" s="1" t="s">
        <v>522</v>
      </c>
      <c r="H250" s="1" t="s">
        <v>1978</v>
      </c>
      <c r="I250" s="194" t="s">
        <v>2211</v>
      </c>
      <c r="J250" s="186" t="s">
        <v>2668</v>
      </c>
    </row>
    <row r="251" spans="1:10" ht="15" customHeight="1" x14ac:dyDescent="0.3">
      <c r="A251" s="65" t="s">
        <v>969</v>
      </c>
      <c r="B251" t="s">
        <v>2012</v>
      </c>
      <c r="C251" s="58" t="s">
        <v>12</v>
      </c>
      <c r="D251" s="1" t="s">
        <v>953</v>
      </c>
      <c r="E251" s="1" t="s">
        <v>1740</v>
      </c>
      <c r="F251" s="1" t="s">
        <v>2472</v>
      </c>
      <c r="G251" s="1" t="s">
        <v>522</v>
      </c>
      <c r="H251" s="1" t="s">
        <v>1838</v>
      </c>
      <c r="I251" s="194" t="s">
        <v>2212</v>
      </c>
      <c r="J251" s="186" t="s">
        <v>2669</v>
      </c>
    </row>
    <row r="252" spans="1:10" ht="15" customHeight="1" x14ac:dyDescent="0.3">
      <c r="A252" s="65" t="s">
        <v>969</v>
      </c>
      <c r="B252" t="s">
        <v>2013</v>
      </c>
      <c r="C252" s="58" t="s">
        <v>1728</v>
      </c>
      <c r="D252" s="1" t="s">
        <v>953</v>
      </c>
      <c r="E252" s="1">
        <v>1</v>
      </c>
      <c r="F252" s="1" t="s">
        <v>2015</v>
      </c>
      <c r="G252" s="1" t="s">
        <v>522</v>
      </c>
      <c r="H252" s="1" t="s">
        <v>1932</v>
      </c>
      <c r="I252" s="194" t="s">
        <v>2213</v>
      </c>
      <c r="J252" s="186" t="s">
        <v>2670</v>
      </c>
    </row>
    <row r="253" spans="1:10" ht="15" customHeight="1" x14ac:dyDescent="0.3">
      <c r="A253" s="65" t="s">
        <v>969</v>
      </c>
      <c r="B253" t="s">
        <v>2171</v>
      </c>
      <c r="C253" s="58" t="s">
        <v>12</v>
      </c>
      <c r="D253" s="1" t="s">
        <v>961</v>
      </c>
      <c r="E253" s="1">
        <v>1</v>
      </c>
      <c r="F253" s="1" t="s">
        <v>10</v>
      </c>
      <c r="G253" s="1" t="s">
        <v>522</v>
      </c>
      <c r="H253" s="1" t="s">
        <v>958</v>
      </c>
      <c r="I253" s="194" t="s">
        <v>2214</v>
      </c>
      <c r="J253" s="186" t="s">
        <v>2671</v>
      </c>
    </row>
    <row r="254" spans="1:10" ht="15" customHeight="1" x14ac:dyDescent="0.3">
      <c r="A254" s="65" t="s">
        <v>969</v>
      </c>
      <c r="B254" t="s">
        <v>2014</v>
      </c>
      <c r="C254" s="58" t="s">
        <v>1728</v>
      </c>
      <c r="D254" s="1" t="s">
        <v>953</v>
      </c>
      <c r="E254" s="1">
        <v>1</v>
      </c>
      <c r="F254" s="1" t="s">
        <v>2016</v>
      </c>
      <c r="G254" s="1" t="s">
        <v>522</v>
      </c>
      <c r="H254" s="1" t="s">
        <v>1932</v>
      </c>
      <c r="I254" s="194" t="s">
        <v>2213</v>
      </c>
      <c r="J254" s="186" t="s">
        <v>2672</v>
      </c>
    </row>
    <row r="255" spans="1:10" ht="15" customHeight="1" x14ac:dyDescent="0.3">
      <c r="A255" s="65" t="s">
        <v>969</v>
      </c>
      <c r="B255" t="s">
        <v>2017</v>
      </c>
      <c r="C255" s="58" t="s">
        <v>11</v>
      </c>
      <c r="D255" s="1" t="s">
        <v>953</v>
      </c>
      <c r="E255" s="1">
        <v>1</v>
      </c>
      <c r="F255" s="1" t="s">
        <v>10</v>
      </c>
      <c r="G255" s="1" t="s">
        <v>522</v>
      </c>
      <c r="H255" s="1" t="s">
        <v>958</v>
      </c>
      <c r="I255" s="194" t="s">
        <v>2215</v>
      </c>
      <c r="J255" s="186" t="s">
        <v>2673</v>
      </c>
    </row>
    <row r="256" spans="1:10" ht="15" customHeight="1" x14ac:dyDescent="0.3">
      <c r="A256" s="65" t="s">
        <v>969</v>
      </c>
      <c r="B256" t="s">
        <v>2018</v>
      </c>
      <c r="C256" s="58" t="s">
        <v>12</v>
      </c>
      <c r="D256" s="1" t="s">
        <v>961</v>
      </c>
      <c r="E256" s="1">
        <v>1</v>
      </c>
      <c r="F256" s="1" t="s">
        <v>10</v>
      </c>
      <c r="G256" s="1" t="s">
        <v>522</v>
      </c>
      <c r="H256" s="1" t="s">
        <v>958</v>
      </c>
      <c r="I256" s="194" t="s">
        <v>2216</v>
      </c>
      <c r="J256" s="186" t="s">
        <v>2674</v>
      </c>
    </row>
    <row r="257" spans="1:10" ht="15" customHeight="1" x14ac:dyDescent="0.3">
      <c r="A257" s="65" t="s">
        <v>969</v>
      </c>
      <c r="B257" t="s">
        <v>2019</v>
      </c>
      <c r="C257" s="58" t="s">
        <v>1728</v>
      </c>
      <c r="D257" s="1" t="s">
        <v>962</v>
      </c>
      <c r="E257" s="1">
        <v>1</v>
      </c>
      <c r="F257" s="1" t="s">
        <v>2020</v>
      </c>
      <c r="G257" s="1" t="s">
        <v>522</v>
      </c>
      <c r="H257" s="1" t="s">
        <v>1932</v>
      </c>
      <c r="I257" s="194" t="s">
        <v>2215</v>
      </c>
      <c r="J257" s="186" t="s">
        <v>2675</v>
      </c>
    </row>
    <row r="258" spans="1:10" ht="15" customHeight="1" x14ac:dyDescent="0.3">
      <c r="A258" s="65" t="s">
        <v>969</v>
      </c>
      <c r="B258" t="s">
        <v>2021</v>
      </c>
      <c r="C258" s="58" t="s">
        <v>11</v>
      </c>
      <c r="D258" s="1" t="s">
        <v>1938</v>
      </c>
      <c r="E258" s="1" t="s">
        <v>1955</v>
      </c>
      <c r="F258" s="1" t="s">
        <v>960</v>
      </c>
      <c r="G258" s="1" t="s">
        <v>522</v>
      </c>
      <c r="H258" s="1" t="s">
        <v>1838</v>
      </c>
      <c r="I258" s="194" t="s">
        <v>2217</v>
      </c>
      <c r="J258" s="186" t="s">
        <v>2676</v>
      </c>
    </row>
    <row r="259" spans="1:10" ht="15" customHeight="1" x14ac:dyDescent="0.3">
      <c r="A259" s="65" t="s">
        <v>969</v>
      </c>
      <c r="B259" t="s">
        <v>2022</v>
      </c>
      <c r="C259" s="58" t="s">
        <v>959</v>
      </c>
      <c r="D259" s="1" t="s">
        <v>961</v>
      </c>
      <c r="E259" s="1">
        <v>2</v>
      </c>
      <c r="F259" s="1" t="s">
        <v>10</v>
      </c>
      <c r="G259" s="1" t="s">
        <v>522</v>
      </c>
      <c r="H259" s="1" t="s">
        <v>1958</v>
      </c>
      <c r="I259" s="194" t="s">
        <v>2217</v>
      </c>
      <c r="J259" s="186" t="s">
        <v>2677</v>
      </c>
    </row>
    <row r="260" spans="1:10" ht="15" customHeight="1" x14ac:dyDescent="0.3">
      <c r="A260" s="65" t="s">
        <v>969</v>
      </c>
      <c r="B260" t="s">
        <v>2219</v>
      </c>
      <c r="C260" s="58" t="s">
        <v>1728</v>
      </c>
      <c r="D260" s="1" t="s">
        <v>953</v>
      </c>
      <c r="E260" s="1">
        <v>1</v>
      </c>
      <c r="F260" s="1" t="s">
        <v>2020</v>
      </c>
      <c r="G260" s="1" t="s">
        <v>522</v>
      </c>
      <c r="H260" s="1" t="s">
        <v>1932</v>
      </c>
      <c r="I260" s="194" t="s">
        <v>2218</v>
      </c>
      <c r="J260" s="186" t="s">
        <v>2678</v>
      </c>
    </row>
    <row r="261" spans="1:10" ht="15" customHeight="1" x14ac:dyDescent="0.3">
      <c r="A261" s="65" t="s">
        <v>969</v>
      </c>
      <c r="B261" t="s">
        <v>1298</v>
      </c>
      <c r="C261" s="58" t="s">
        <v>1728</v>
      </c>
      <c r="D261" s="1" t="s">
        <v>953</v>
      </c>
      <c r="E261" s="1">
        <v>1</v>
      </c>
      <c r="F261" s="1" t="s">
        <v>2059</v>
      </c>
      <c r="G261" s="1" t="s">
        <v>522</v>
      </c>
      <c r="H261" s="1" t="s">
        <v>1932</v>
      </c>
      <c r="I261" s="194" t="s">
        <v>2220</v>
      </c>
      <c r="J261" s="186" t="s">
        <v>2679</v>
      </c>
    </row>
    <row r="262" spans="1:10" ht="15" customHeight="1" x14ac:dyDescent="0.3">
      <c r="A262" s="65" t="s">
        <v>969</v>
      </c>
      <c r="B262" t="s">
        <v>2023</v>
      </c>
      <c r="C262" s="58" t="s">
        <v>12</v>
      </c>
      <c r="D262" s="1" t="s">
        <v>961</v>
      </c>
      <c r="E262" s="1">
        <v>2</v>
      </c>
      <c r="F262" s="1" t="s">
        <v>10</v>
      </c>
      <c r="G262" s="1" t="s">
        <v>522</v>
      </c>
      <c r="H262" s="1" t="s">
        <v>1932</v>
      </c>
      <c r="I262" s="194" t="s">
        <v>2220</v>
      </c>
      <c r="J262" s="186" t="s">
        <v>2680</v>
      </c>
    </row>
    <row r="263" spans="1:10" ht="15" customHeight="1" x14ac:dyDescent="0.3">
      <c r="A263" s="65" t="s">
        <v>969</v>
      </c>
      <c r="B263" t="s">
        <v>2766</v>
      </c>
      <c r="C263" s="58" t="s">
        <v>12</v>
      </c>
      <c r="D263" s="1" t="s">
        <v>1938</v>
      </c>
      <c r="E263" s="1">
        <v>2</v>
      </c>
      <c r="F263" s="1" t="s">
        <v>2759</v>
      </c>
      <c r="G263" s="1" t="s">
        <v>522</v>
      </c>
      <c r="H263" s="1" t="s">
        <v>1932</v>
      </c>
      <c r="I263" s="194" t="s">
        <v>2767</v>
      </c>
      <c r="J263" s="186" t="s">
        <v>2768</v>
      </c>
    </row>
    <row r="264" spans="1:10" ht="15" customHeight="1" x14ac:dyDescent="0.3">
      <c r="A264" s="65" t="s">
        <v>969</v>
      </c>
      <c r="B264" t="s">
        <v>2024</v>
      </c>
      <c r="C264" s="58" t="s">
        <v>11</v>
      </c>
      <c r="D264" s="1" t="s">
        <v>1938</v>
      </c>
      <c r="E264" s="1" t="s">
        <v>1955</v>
      </c>
      <c r="F264" s="1" t="s">
        <v>2060</v>
      </c>
      <c r="G264" s="1" t="s">
        <v>522</v>
      </c>
      <c r="H264" s="1" t="s">
        <v>2061</v>
      </c>
      <c r="I264" s="194" t="s">
        <v>2221</v>
      </c>
      <c r="J264" s="186" t="s">
        <v>2681</v>
      </c>
    </row>
    <row r="265" spans="1:10" ht="15" customHeight="1" x14ac:dyDescent="0.3">
      <c r="A265" s="65" t="s">
        <v>969</v>
      </c>
      <c r="B265" t="s">
        <v>2025</v>
      </c>
      <c r="C265" s="58" t="s">
        <v>959</v>
      </c>
      <c r="D265" s="1" t="s">
        <v>961</v>
      </c>
      <c r="E265" s="1">
        <v>2</v>
      </c>
      <c r="F265" s="1" t="s">
        <v>10</v>
      </c>
      <c r="G265" s="1" t="s">
        <v>522</v>
      </c>
      <c r="H265" s="1" t="s">
        <v>1937</v>
      </c>
      <c r="I265" s="194" t="s">
        <v>2222</v>
      </c>
      <c r="J265" s="186" t="s">
        <v>2682</v>
      </c>
    </row>
    <row r="266" spans="1:10" ht="15" customHeight="1" x14ac:dyDescent="0.3">
      <c r="A266" s="65" t="s">
        <v>969</v>
      </c>
      <c r="B266" t="s">
        <v>2026</v>
      </c>
      <c r="C266" s="58" t="s">
        <v>1728</v>
      </c>
      <c r="D266" s="1" t="s">
        <v>1938</v>
      </c>
      <c r="E266" s="1">
        <v>1</v>
      </c>
      <c r="F266" s="1" t="s">
        <v>2062</v>
      </c>
      <c r="G266" s="1" t="s">
        <v>522</v>
      </c>
      <c r="H266" s="1" t="s">
        <v>1838</v>
      </c>
      <c r="I266" s="194" t="s">
        <v>2223</v>
      </c>
      <c r="J266" s="186" t="s">
        <v>2683</v>
      </c>
    </row>
    <row r="267" spans="1:10" ht="15" customHeight="1" x14ac:dyDescent="0.3">
      <c r="A267" s="65" t="s">
        <v>969</v>
      </c>
      <c r="B267" t="s">
        <v>2027</v>
      </c>
      <c r="C267" s="58" t="s">
        <v>12</v>
      </c>
      <c r="D267" s="1" t="s">
        <v>961</v>
      </c>
      <c r="E267" s="1" t="s">
        <v>1825</v>
      </c>
      <c r="F267" s="1" t="s">
        <v>960</v>
      </c>
      <c r="G267" s="1" t="s">
        <v>522</v>
      </c>
      <c r="H267" s="1" t="s">
        <v>1835</v>
      </c>
      <c r="I267" s="194" t="s">
        <v>2223</v>
      </c>
      <c r="J267" s="186" t="s">
        <v>2684</v>
      </c>
    </row>
    <row r="268" spans="1:10" ht="15" customHeight="1" x14ac:dyDescent="0.3">
      <c r="A268" s="65" t="s">
        <v>969</v>
      </c>
      <c r="B268" t="s">
        <v>2774</v>
      </c>
      <c r="C268" s="58" t="s">
        <v>11</v>
      </c>
      <c r="D268" s="1" t="s">
        <v>953</v>
      </c>
      <c r="E268" s="1">
        <v>1</v>
      </c>
      <c r="F268" s="1" t="s">
        <v>2759</v>
      </c>
      <c r="G268" s="1" t="s">
        <v>522</v>
      </c>
      <c r="H268" s="1" t="s">
        <v>1978</v>
      </c>
      <c r="I268" s="194" t="s">
        <v>2772</v>
      </c>
      <c r="J268" s="186" t="s">
        <v>2775</v>
      </c>
    </row>
    <row r="269" spans="1:10" ht="15" customHeight="1" x14ac:dyDescent="0.3">
      <c r="A269" s="65" t="s">
        <v>969</v>
      </c>
      <c r="B269" t="s">
        <v>2028</v>
      </c>
      <c r="C269" s="58" t="s">
        <v>11</v>
      </c>
      <c r="D269" s="1" t="s">
        <v>961</v>
      </c>
      <c r="E269" s="1">
        <v>1</v>
      </c>
      <c r="F269" s="1" t="s">
        <v>10</v>
      </c>
      <c r="G269" s="1" t="s">
        <v>522</v>
      </c>
      <c r="H269" s="1" t="s">
        <v>1981</v>
      </c>
      <c r="I269" s="194" t="s">
        <v>2224</v>
      </c>
      <c r="J269" s="186" t="s">
        <v>2685</v>
      </c>
    </row>
    <row r="270" spans="1:10" ht="15" customHeight="1" x14ac:dyDescent="0.3">
      <c r="A270" s="65" t="s">
        <v>969</v>
      </c>
      <c r="B270" t="s">
        <v>2029</v>
      </c>
      <c r="C270" s="58" t="s">
        <v>11</v>
      </c>
      <c r="D270" s="1" t="s">
        <v>961</v>
      </c>
      <c r="E270" s="1">
        <v>1</v>
      </c>
      <c r="F270" s="1" t="s">
        <v>10</v>
      </c>
      <c r="G270" s="1" t="s">
        <v>522</v>
      </c>
      <c r="H270" s="1" t="s">
        <v>1981</v>
      </c>
      <c r="I270" s="194" t="s">
        <v>2225</v>
      </c>
      <c r="J270" s="186" t="s">
        <v>2686</v>
      </c>
    </row>
    <row r="271" spans="1:10" ht="15" customHeight="1" x14ac:dyDescent="0.3">
      <c r="A271" s="65" t="s">
        <v>969</v>
      </c>
      <c r="B271" t="s">
        <v>2758</v>
      </c>
      <c r="C271" s="58" t="s">
        <v>1728</v>
      </c>
      <c r="D271" s="1" t="s">
        <v>953</v>
      </c>
      <c r="E271" s="1">
        <v>1</v>
      </c>
      <c r="F271" s="1" t="s">
        <v>2759</v>
      </c>
      <c r="G271" s="1" t="s">
        <v>522</v>
      </c>
      <c r="H271" s="1" t="s">
        <v>1932</v>
      </c>
      <c r="I271" s="194" t="s">
        <v>2755</v>
      </c>
      <c r="J271" s="186" t="s">
        <v>2760</v>
      </c>
    </row>
    <row r="272" spans="1:10" ht="15" customHeight="1" x14ac:dyDescent="0.3">
      <c r="A272" s="65" t="s">
        <v>969</v>
      </c>
      <c r="B272" t="s">
        <v>2030</v>
      </c>
      <c r="C272" s="58" t="s">
        <v>1728</v>
      </c>
      <c r="D272" s="1" t="s">
        <v>962</v>
      </c>
      <c r="E272" s="1">
        <v>1</v>
      </c>
      <c r="F272" s="1" t="s">
        <v>2060</v>
      </c>
      <c r="G272" s="1" t="s">
        <v>522</v>
      </c>
      <c r="H272" s="1" t="s">
        <v>1731</v>
      </c>
      <c r="I272" s="194" t="s">
        <v>2226</v>
      </c>
      <c r="J272" s="186" t="s">
        <v>2687</v>
      </c>
    </row>
    <row r="273" spans="1:10" ht="15" customHeight="1" x14ac:dyDescent="0.3">
      <c r="A273" s="65" t="s">
        <v>969</v>
      </c>
      <c r="B273" t="s">
        <v>2031</v>
      </c>
      <c r="C273" s="58" t="s">
        <v>959</v>
      </c>
      <c r="D273" s="1" t="s">
        <v>1938</v>
      </c>
      <c r="E273" s="1" t="s">
        <v>1955</v>
      </c>
      <c r="F273" s="1" t="s">
        <v>2063</v>
      </c>
      <c r="G273" s="1" t="s">
        <v>522</v>
      </c>
      <c r="H273" s="1" t="s">
        <v>958</v>
      </c>
      <c r="I273" s="194" t="s">
        <v>2226</v>
      </c>
      <c r="J273" s="65" t="s">
        <v>2688</v>
      </c>
    </row>
    <row r="274" spans="1:10" ht="15" customHeight="1" x14ac:dyDescent="0.3">
      <c r="A274" s="65" t="s">
        <v>969</v>
      </c>
      <c r="B274" t="s">
        <v>2032</v>
      </c>
      <c r="C274" s="58" t="s">
        <v>12</v>
      </c>
      <c r="D274" s="1" t="s">
        <v>953</v>
      </c>
      <c r="E274" s="1">
        <v>1</v>
      </c>
      <c r="F274" s="1" t="s">
        <v>960</v>
      </c>
      <c r="G274" s="1" t="s">
        <v>522</v>
      </c>
      <c r="H274" s="1" t="s">
        <v>2064</v>
      </c>
      <c r="I274" s="194" t="s">
        <v>2227</v>
      </c>
      <c r="J274" s="186" t="s">
        <v>2689</v>
      </c>
    </row>
    <row r="275" spans="1:10" ht="15" customHeight="1" x14ac:dyDescent="0.3">
      <c r="A275" s="65" t="s">
        <v>969</v>
      </c>
      <c r="B275" t="s">
        <v>2033</v>
      </c>
      <c r="C275" s="58" t="s">
        <v>959</v>
      </c>
      <c r="D275" s="1" t="s">
        <v>1938</v>
      </c>
      <c r="E275" s="1">
        <v>2</v>
      </c>
      <c r="F275" s="1" t="s">
        <v>10</v>
      </c>
      <c r="G275" s="1" t="s">
        <v>522</v>
      </c>
      <c r="H275" s="1" t="s">
        <v>2065</v>
      </c>
      <c r="I275" s="194" t="s">
        <v>2228</v>
      </c>
      <c r="J275" s="186" t="s">
        <v>2690</v>
      </c>
    </row>
    <row r="276" spans="1:10" ht="15" customHeight="1" x14ac:dyDescent="0.3">
      <c r="A276" s="65" t="s">
        <v>969</v>
      </c>
      <c r="B276" t="s">
        <v>2034</v>
      </c>
      <c r="C276" s="58" t="s">
        <v>11</v>
      </c>
      <c r="D276" s="1" t="s">
        <v>953</v>
      </c>
      <c r="E276" s="1">
        <v>2</v>
      </c>
      <c r="F276" s="1" t="s">
        <v>2066</v>
      </c>
      <c r="G276" s="1" t="s">
        <v>522</v>
      </c>
      <c r="H276" s="1" t="s">
        <v>1981</v>
      </c>
      <c r="I276" s="194" t="s">
        <v>2228</v>
      </c>
      <c r="J276" s="186" t="s">
        <v>2691</v>
      </c>
    </row>
    <row r="277" spans="1:10" ht="15" customHeight="1" x14ac:dyDescent="0.3">
      <c r="A277" s="65" t="s">
        <v>969</v>
      </c>
      <c r="B277" t="s">
        <v>2754</v>
      </c>
      <c r="C277" s="58" t="s">
        <v>12</v>
      </c>
      <c r="D277" s="1" t="s">
        <v>953</v>
      </c>
      <c r="E277" s="1">
        <v>1</v>
      </c>
      <c r="F277" s="1" t="s">
        <v>2066</v>
      </c>
      <c r="G277" s="1" t="s">
        <v>522</v>
      </c>
      <c r="H277" s="1" t="s">
        <v>1731</v>
      </c>
      <c r="I277" s="194" t="s">
        <v>2755</v>
      </c>
      <c r="J277" s="186" t="s">
        <v>2756</v>
      </c>
    </row>
    <row r="278" spans="1:10" ht="15" customHeight="1" x14ac:dyDescent="0.3">
      <c r="A278" s="65" t="s">
        <v>969</v>
      </c>
      <c r="B278" t="s">
        <v>2035</v>
      </c>
      <c r="C278" s="58" t="s">
        <v>12</v>
      </c>
      <c r="D278" s="1" t="s">
        <v>953</v>
      </c>
      <c r="E278" s="1" t="s">
        <v>1955</v>
      </c>
      <c r="F278" s="1" t="s">
        <v>2472</v>
      </c>
      <c r="G278" s="1" t="s">
        <v>522</v>
      </c>
      <c r="H278" s="1" t="s">
        <v>1838</v>
      </c>
      <c r="I278" s="194" t="s">
        <v>2229</v>
      </c>
      <c r="J278" s="186" t="s">
        <v>2692</v>
      </c>
    </row>
    <row r="279" spans="1:10" ht="15" customHeight="1" x14ac:dyDescent="0.3">
      <c r="A279" s="65" t="s">
        <v>969</v>
      </c>
      <c r="B279" t="s">
        <v>2036</v>
      </c>
      <c r="C279" s="58" t="s">
        <v>12</v>
      </c>
      <c r="D279" s="1" t="s">
        <v>953</v>
      </c>
      <c r="E279" s="1">
        <v>1</v>
      </c>
      <c r="F279" s="1" t="s">
        <v>2472</v>
      </c>
      <c r="G279" s="1" t="s">
        <v>522</v>
      </c>
      <c r="H279" s="1" t="s">
        <v>1838</v>
      </c>
      <c r="I279" s="194" t="s">
        <v>2229</v>
      </c>
      <c r="J279" s="186" t="s">
        <v>2693</v>
      </c>
    </row>
    <row r="280" spans="1:10" ht="15" customHeight="1" x14ac:dyDescent="0.3">
      <c r="A280" s="65" t="s">
        <v>969</v>
      </c>
      <c r="B280" t="s">
        <v>2037</v>
      </c>
      <c r="C280" s="58" t="s">
        <v>11</v>
      </c>
      <c r="D280" s="1" t="s">
        <v>953</v>
      </c>
      <c r="E280" s="1">
        <v>1</v>
      </c>
      <c r="F280" s="1" t="s">
        <v>10</v>
      </c>
      <c r="G280" s="1" t="s">
        <v>522</v>
      </c>
      <c r="H280" s="1" t="s">
        <v>1958</v>
      </c>
      <c r="I280" s="194" t="s">
        <v>2230</v>
      </c>
      <c r="J280" s="186" t="s">
        <v>2694</v>
      </c>
    </row>
    <row r="281" spans="1:10" ht="15" customHeight="1" x14ac:dyDescent="0.3">
      <c r="A281" s="65" t="s">
        <v>969</v>
      </c>
      <c r="B281" t="s">
        <v>2771</v>
      </c>
      <c r="C281" s="58" t="s">
        <v>1728</v>
      </c>
      <c r="D281" s="1" t="s">
        <v>961</v>
      </c>
      <c r="E281" s="1">
        <v>1</v>
      </c>
      <c r="F281" s="1" t="s">
        <v>10</v>
      </c>
      <c r="G281" s="1" t="s">
        <v>522</v>
      </c>
      <c r="H281" s="1" t="s">
        <v>958</v>
      </c>
      <c r="I281" s="194" t="s">
        <v>2772</v>
      </c>
      <c r="J281" s="186" t="s">
        <v>2773</v>
      </c>
    </row>
    <row r="282" spans="1:10" ht="15" customHeight="1" x14ac:dyDescent="0.3">
      <c r="A282" s="65" t="s">
        <v>969</v>
      </c>
      <c r="B282" t="s">
        <v>2038</v>
      </c>
      <c r="C282" s="58" t="s">
        <v>959</v>
      </c>
      <c r="D282" s="1" t="s">
        <v>953</v>
      </c>
      <c r="E282" s="1">
        <v>1</v>
      </c>
      <c r="F282" s="1" t="s">
        <v>2472</v>
      </c>
      <c r="G282" s="1" t="s">
        <v>522</v>
      </c>
      <c r="H282" s="1" t="s">
        <v>1994</v>
      </c>
      <c r="I282" s="194" t="s">
        <v>2230</v>
      </c>
      <c r="J282" s="186" t="s">
        <v>2695</v>
      </c>
    </row>
    <row r="283" spans="1:10" ht="15" customHeight="1" x14ac:dyDescent="0.3">
      <c r="A283" s="65" t="s">
        <v>969</v>
      </c>
      <c r="B283" t="s">
        <v>2039</v>
      </c>
      <c r="C283" s="58" t="s">
        <v>959</v>
      </c>
      <c r="D283" s="1" t="s">
        <v>961</v>
      </c>
      <c r="E283" s="1">
        <v>2</v>
      </c>
      <c r="F283" s="1" t="s">
        <v>2472</v>
      </c>
      <c r="G283" s="1" t="s">
        <v>522</v>
      </c>
      <c r="H283" s="1" t="s">
        <v>1978</v>
      </c>
      <c r="I283" s="194" t="s">
        <v>2231</v>
      </c>
      <c r="J283" s="186" t="s">
        <v>2696</v>
      </c>
    </row>
    <row r="284" spans="1:10" ht="15" customHeight="1" x14ac:dyDescent="0.3">
      <c r="A284" s="65" t="s">
        <v>969</v>
      </c>
      <c r="B284" t="s">
        <v>2040</v>
      </c>
      <c r="C284" s="58" t="s">
        <v>959</v>
      </c>
      <c r="D284" s="1" t="s">
        <v>953</v>
      </c>
      <c r="E284" s="1">
        <v>2</v>
      </c>
      <c r="F284" s="1" t="s">
        <v>960</v>
      </c>
      <c r="G284" s="1" t="s">
        <v>522</v>
      </c>
      <c r="H284" s="1" t="s">
        <v>1932</v>
      </c>
      <c r="I284" s="194" t="s">
        <v>2231</v>
      </c>
      <c r="J284" s="186" t="s">
        <v>2697</v>
      </c>
    </row>
    <row r="285" spans="1:10" ht="15" customHeight="1" x14ac:dyDescent="0.3">
      <c r="A285" s="65" t="s">
        <v>969</v>
      </c>
      <c r="B285" t="s">
        <v>2041</v>
      </c>
      <c r="C285" s="58" t="s">
        <v>11</v>
      </c>
      <c r="D285" s="1" t="s">
        <v>953</v>
      </c>
      <c r="E285" s="1">
        <v>1</v>
      </c>
      <c r="F285" s="1" t="s">
        <v>2066</v>
      </c>
      <c r="G285" s="1" t="s">
        <v>522</v>
      </c>
      <c r="H285" s="1" t="s">
        <v>1958</v>
      </c>
      <c r="I285" s="194" t="s">
        <v>2232</v>
      </c>
      <c r="J285" s="186" t="s">
        <v>2698</v>
      </c>
    </row>
    <row r="286" spans="1:10" ht="15" customHeight="1" x14ac:dyDescent="0.3">
      <c r="A286" s="65" t="s">
        <v>969</v>
      </c>
      <c r="B286" t="s">
        <v>2042</v>
      </c>
      <c r="C286" s="58" t="s">
        <v>11</v>
      </c>
      <c r="D286" s="1" t="s">
        <v>953</v>
      </c>
      <c r="E286" s="1">
        <v>1</v>
      </c>
      <c r="F286" s="1" t="s">
        <v>960</v>
      </c>
      <c r="G286" s="1" t="s">
        <v>522</v>
      </c>
      <c r="H286" s="1" t="s">
        <v>1978</v>
      </c>
      <c r="I286" s="194" t="s">
        <v>2232</v>
      </c>
      <c r="J286" s="186" t="s">
        <v>2699</v>
      </c>
    </row>
    <row r="287" spans="1:10" ht="15" customHeight="1" x14ac:dyDescent="0.3">
      <c r="A287" s="65" t="s">
        <v>969</v>
      </c>
      <c r="B287" t="s">
        <v>2043</v>
      </c>
      <c r="C287" s="58" t="s">
        <v>959</v>
      </c>
      <c r="D287" s="1" t="s">
        <v>961</v>
      </c>
      <c r="E287" s="1">
        <v>2</v>
      </c>
      <c r="F287" s="1" t="s">
        <v>2060</v>
      </c>
      <c r="G287" s="1" t="s">
        <v>522</v>
      </c>
      <c r="H287" s="1" t="s">
        <v>1838</v>
      </c>
      <c r="I287" s="194" t="s">
        <v>2233</v>
      </c>
      <c r="J287" s="186" t="s">
        <v>2700</v>
      </c>
    </row>
    <row r="288" spans="1:10" ht="15" customHeight="1" x14ac:dyDescent="0.3">
      <c r="A288" s="65" t="s">
        <v>969</v>
      </c>
      <c r="B288" t="s">
        <v>2745</v>
      </c>
      <c r="C288" s="58" t="s">
        <v>11</v>
      </c>
      <c r="D288" s="1" t="s">
        <v>961</v>
      </c>
      <c r="E288" s="1">
        <v>2</v>
      </c>
      <c r="F288" s="1" t="s">
        <v>2066</v>
      </c>
      <c r="G288" s="1" t="s">
        <v>522</v>
      </c>
      <c r="H288" s="1" t="s">
        <v>2069</v>
      </c>
      <c r="I288" s="194" t="s">
        <v>2746</v>
      </c>
      <c r="J288" s="186" t="s">
        <v>2747</v>
      </c>
    </row>
    <row r="289" spans="1:10" ht="15" customHeight="1" x14ac:dyDescent="0.3">
      <c r="A289" s="65" t="s">
        <v>969</v>
      </c>
      <c r="B289" t="s">
        <v>2044</v>
      </c>
      <c r="C289" s="58" t="s">
        <v>959</v>
      </c>
      <c r="D289" s="1" t="s">
        <v>963</v>
      </c>
      <c r="E289" s="1" t="s">
        <v>2067</v>
      </c>
      <c r="F289" s="1" t="s">
        <v>2472</v>
      </c>
      <c r="G289" s="1" t="s">
        <v>522</v>
      </c>
      <c r="H289" s="1" t="s">
        <v>1731</v>
      </c>
      <c r="I289" s="194" t="s">
        <v>2234</v>
      </c>
      <c r="J289" s="186" t="s">
        <v>2701</v>
      </c>
    </row>
    <row r="290" spans="1:10" ht="15" customHeight="1" x14ac:dyDescent="0.3">
      <c r="A290" s="65" t="s">
        <v>969</v>
      </c>
      <c r="B290" t="s">
        <v>2045</v>
      </c>
      <c r="C290" s="58" t="s">
        <v>11</v>
      </c>
      <c r="D290" s="1" t="s">
        <v>1938</v>
      </c>
      <c r="E290" s="1">
        <v>1</v>
      </c>
      <c r="F290" s="1" t="s">
        <v>960</v>
      </c>
      <c r="G290" s="1" t="s">
        <v>522</v>
      </c>
      <c r="H290" s="1" t="s">
        <v>2068</v>
      </c>
      <c r="I290" s="194" t="s">
        <v>2234</v>
      </c>
      <c r="J290" s="186" t="s">
        <v>2702</v>
      </c>
    </row>
    <row r="291" spans="1:10" ht="15" customHeight="1" x14ac:dyDescent="0.3">
      <c r="A291" s="65" t="s">
        <v>969</v>
      </c>
      <c r="B291" t="s">
        <v>2046</v>
      </c>
      <c r="C291" s="58" t="s">
        <v>959</v>
      </c>
      <c r="D291" s="1" t="s">
        <v>961</v>
      </c>
      <c r="E291" s="1">
        <v>1</v>
      </c>
      <c r="F291" s="1" t="s">
        <v>10</v>
      </c>
      <c r="G291" s="1" t="s">
        <v>522</v>
      </c>
      <c r="H291" s="1" t="s">
        <v>1958</v>
      </c>
      <c r="I291" s="194" t="s">
        <v>2235</v>
      </c>
      <c r="J291" s="186" t="s">
        <v>2703</v>
      </c>
    </row>
    <row r="292" spans="1:10" ht="15" customHeight="1" x14ac:dyDescent="0.3">
      <c r="A292" s="65" t="s">
        <v>969</v>
      </c>
      <c r="B292" t="s">
        <v>2047</v>
      </c>
      <c r="C292" s="58" t="s">
        <v>1728</v>
      </c>
      <c r="D292" s="1" t="s">
        <v>961</v>
      </c>
      <c r="E292" s="1">
        <v>1</v>
      </c>
      <c r="F292" s="1" t="s">
        <v>960</v>
      </c>
      <c r="G292" s="1" t="s">
        <v>522</v>
      </c>
      <c r="H292" s="1" t="s">
        <v>1932</v>
      </c>
      <c r="I292" s="194" t="s">
        <v>2235</v>
      </c>
      <c r="J292" s="186" t="s">
        <v>2704</v>
      </c>
    </row>
    <row r="293" spans="1:10" ht="15" customHeight="1" x14ac:dyDescent="0.3">
      <c r="A293" s="65" t="s">
        <v>969</v>
      </c>
      <c r="B293" t="s">
        <v>2048</v>
      </c>
      <c r="C293" s="58" t="s">
        <v>12</v>
      </c>
      <c r="D293" s="1" t="s">
        <v>953</v>
      </c>
      <c r="E293" s="1">
        <v>2</v>
      </c>
      <c r="F293" s="1" t="s">
        <v>1817</v>
      </c>
      <c r="G293" s="1" t="s">
        <v>522</v>
      </c>
      <c r="H293" s="1" t="s">
        <v>1978</v>
      </c>
      <c r="I293" s="194" t="s">
        <v>2235</v>
      </c>
      <c r="J293" s="186" t="s">
        <v>2757</v>
      </c>
    </row>
    <row r="294" spans="1:10" ht="15" customHeight="1" x14ac:dyDescent="0.3">
      <c r="A294" s="65" t="s">
        <v>969</v>
      </c>
      <c r="B294" t="s">
        <v>2049</v>
      </c>
      <c r="C294" s="58" t="s">
        <v>1728</v>
      </c>
      <c r="D294" s="1" t="s">
        <v>953</v>
      </c>
      <c r="E294" s="1">
        <v>2</v>
      </c>
      <c r="F294" s="1" t="s">
        <v>2062</v>
      </c>
      <c r="G294" s="1" t="s">
        <v>522</v>
      </c>
      <c r="H294" s="1" t="s">
        <v>1932</v>
      </c>
      <c r="I294" s="194" t="s">
        <v>2236</v>
      </c>
      <c r="J294" s="186" t="s">
        <v>2705</v>
      </c>
    </row>
    <row r="295" spans="1:10" ht="15" customHeight="1" x14ac:dyDescent="0.3">
      <c r="A295" s="65" t="s">
        <v>969</v>
      </c>
      <c r="B295" t="s">
        <v>2050</v>
      </c>
      <c r="C295" s="58" t="s">
        <v>12</v>
      </c>
      <c r="D295" s="1" t="s">
        <v>953</v>
      </c>
      <c r="E295" s="1">
        <v>1</v>
      </c>
      <c r="F295" s="1" t="s">
        <v>960</v>
      </c>
      <c r="G295" s="1" t="s">
        <v>522</v>
      </c>
      <c r="H295" s="1" t="s">
        <v>1932</v>
      </c>
      <c r="I295" s="194" t="s">
        <v>2236</v>
      </c>
      <c r="J295" s="186" t="s">
        <v>2706</v>
      </c>
    </row>
    <row r="296" spans="1:10" ht="15" customHeight="1" x14ac:dyDescent="0.3">
      <c r="A296" s="65" t="s">
        <v>969</v>
      </c>
      <c r="B296" t="s">
        <v>2051</v>
      </c>
      <c r="C296" s="58" t="s">
        <v>1728</v>
      </c>
      <c r="D296" s="1" t="s">
        <v>953</v>
      </c>
      <c r="E296" s="1">
        <v>2</v>
      </c>
      <c r="F296" s="1" t="s">
        <v>2060</v>
      </c>
      <c r="G296" s="1" t="s">
        <v>522</v>
      </c>
      <c r="H296" s="1" t="s">
        <v>1932</v>
      </c>
      <c r="I296" s="194" t="s">
        <v>2237</v>
      </c>
      <c r="J296" s="186" t="s">
        <v>2707</v>
      </c>
    </row>
    <row r="297" spans="1:10" ht="15" customHeight="1" x14ac:dyDescent="0.3">
      <c r="A297" s="65" t="s">
        <v>969</v>
      </c>
      <c r="B297" t="s">
        <v>2052</v>
      </c>
      <c r="C297" s="58" t="s">
        <v>959</v>
      </c>
      <c r="D297" s="1" t="s">
        <v>961</v>
      </c>
      <c r="E297" s="1">
        <v>2</v>
      </c>
      <c r="F297" s="1" t="s">
        <v>2020</v>
      </c>
      <c r="G297" s="1" t="s">
        <v>522</v>
      </c>
      <c r="H297" s="1" t="s">
        <v>1731</v>
      </c>
      <c r="I297" s="194" t="s">
        <v>2237</v>
      </c>
      <c r="J297" s="186" t="s">
        <v>2708</v>
      </c>
    </row>
    <row r="298" spans="1:10" ht="15" customHeight="1" x14ac:dyDescent="0.3">
      <c r="A298" s="65" t="s">
        <v>969</v>
      </c>
      <c r="B298" t="s">
        <v>2053</v>
      </c>
      <c r="C298" s="58" t="s">
        <v>959</v>
      </c>
      <c r="D298" s="1" t="s">
        <v>962</v>
      </c>
      <c r="E298" s="1">
        <v>1</v>
      </c>
      <c r="F298" s="1" t="s">
        <v>1814</v>
      </c>
      <c r="G298" s="1" t="s">
        <v>522</v>
      </c>
      <c r="H298" s="1" t="s">
        <v>2069</v>
      </c>
      <c r="I298" s="194" t="s">
        <v>2237</v>
      </c>
      <c r="J298" s="186" t="s">
        <v>2709</v>
      </c>
    </row>
    <row r="299" spans="1:10" ht="15" customHeight="1" x14ac:dyDescent="0.3">
      <c r="A299" s="65" t="s">
        <v>969</v>
      </c>
      <c r="B299" t="s">
        <v>2054</v>
      </c>
      <c r="C299" s="58" t="s">
        <v>13</v>
      </c>
      <c r="D299" s="1" t="s">
        <v>953</v>
      </c>
      <c r="E299" s="1">
        <v>1</v>
      </c>
      <c r="F299" s="1" t="s">
        <v>2472</v>
      </c>
      <c r="G299" s="1" t="s">
        <v>522</v>
      </c>
      <c r="H299" s="1" t="s">
        <v>1838</v>
      </c>
      <c r="I299" s="194" t="s">
        <v>2238</v>
      </c>
      <c r="J299" s="186" t="s">
        <v>2710</v>
      </c>
    </row>
    <row r="300" spans="1:10" ht="15" customHeight="1" x14ac:dyDescent="0.3">
      <c r="A300" s="65" t="s">
        <v>969</v>
      </c>
      <c r="B300" t="s">
        <v>2055</v>
      </c>
      <c r="C300" s="58" t="s">
        <v>959</v>
      </c>
      <c r="D300" s="1" t="s">
        <v>1938</v>
      </c>
      <c r="E300" s="1" t="s">
        <v>1740</v>
      </c>
      <c r="F300" s="1" t="s">
        <v>2070</v>
      </c>
      <c r="G300" s="1" t="s">
        <v>522</v>
      </c>
      <c r="H300" s="1" t="s">
        <v>1731</v>
      </c>
      <c r="I300" s="194" t="s">
        <v>2239</v>
      </c>
      <c r="J300" s="186" t="s">
        <v>2711</v>
      </c>
    </row>
    <row r="301" spans="1:10" ht="15" customHeight="1" x14ac:dyDescent="0.3">
      <c r="A301" s="65" t="s">
        <v>969</v>
      </c>
      <c r="B301" t="s">
        <v>2769</v>
      </c>
      <c r="C301" s="58" t="s">
        <v>12</v>
      </c>
      <c r="D301" s="1" t="s">
        <v>953</v>
      </c>
      <c r="E301" s="1">
        <v>1</v>
      </c>
      <c r="F301" s="1" t="s">
        <v>2066</v>
      </c>
      <c r="G301" s="1" t="s">
        <v>522</v>
      </c>
      <c r="H301" s="1" t="s">
        <v>958</v>
      </c>
      <c r="I301" s="194" t="s">
        <v>2767</v>
      </c>
      <c r="J301" s="186" t="s">
        <v>2770</v>
      </c>
    </row>
    <row r="302" spans="1:10" ht="15" customHeight="1" x14ac:dyDescent="0.3">
      <c r="A302" s="65" t="s">
        <v>969</v>
      </c>
      <c r="B302" t="s">
        <v>2751</v>
      </c>
      <c r="C302" s="58" t="s">
        <v>959</v>
      </c>
      <c r="D302" s="1" t="s">
        <v>961</v>
      </c>
      <c r="E302" s="1">
        <v>2</v>
      </c>
      <c r="F302" s="1" t="s">
        <v>2062</v>
      </c>
      <c r="G302" s="1" t="s">
        <v>522</v>
      </c>
      <c r="H302" s="1" t="s">
        <v>1932</v>
      </c>
      <c r="I302" s="194" t="s">
        <v>2752</v>
      </c>
      <c r="J302" s="186" t="s">
        <v>2753</v>
      </c>
    </row>
    <row r="303" spans="1:10" ht="15" customHeight="1" x14ac:dyDescent="0.3">
      <c r="A303" s="65" t="s">
        <v>969</v>
      </c>
      <c r="B303" t="s">
        <v>2056</v>
      </c>
      <c r="C303" s="58" t="s">
        <v>959</v>
      </c>
      <c r="D303" s="1" t="s">
        <v>953</v>
      </c>
      <c r="E303" s="1">
        <v>1</v>
      </c>
      <c r="F303" s="1" t="s">
        <v>2066</v>
      </c>
      <c r="G303" s="1" t="s">
        <v>522</v>
      </c>
      <c r="H303" s="1" t="s">
        <v>1958</v>
      </c>
      <c r="I303" s="194" t="s">
        <v>2239</v>
      </c>
      <c r="J303" s="186" t="s">
        <v>2712</v>
      </c>
    </row>
    <row r="304" spans="1:10" ht="15" customHeight="1" x14ac:dyDescent="0.3">
      <c r="A304" s="65" t="s">
        <v>969</v>
      </c>
      <c r="B304" t="s">
        <v>2057</v>
      </c>
      <c r="C304" s="58" t="s">
        <v>1728</v>
      </c>
      <c r="D304" s="1" t="s">
        <v>962</v>
      </c>
      <c r="E304" s="1">
        <v>1</v>
      </c>
      <c r="F304" s="1" t="s">
        <v>2472</v>
      </c>
      <c r="G304" s="1" t="s">
        <v>522</v>
      </c>
      <c r="H304" s="1" t="s">
        <v>958</v>
      </c>
      <c r="I304" s="194" t="s">
        <v>2240</v>
      </c>
      <c r="J304" s="186" t="s">
        <v>2742</v>
      </c>
    </row>
    <row r="305" spans="1:10" ht="15" customHeight="1" x14ac:dyDescent="0.3">
      <c r="A305" s="65" t="s">
        <v>969</v>
      </c>
      <c r="B305" t="s">
        <v>2058</v>
      </c>
      <c r="C305" s="58" t="s">
        <v>959</v>
      </c>
      <c r="D305" s="1" t="s">
        <v>953</v>
      </c>
      <c r="E305" s="1" t="s">
        <v>1740</v>
      </c>
      <c r="F305" s="1" t="s">
        <v>2472</v>
      </c>
      <c r="G305" s="1" t="s">
        <v>522</v>
      </c>
      <c r="H305" s="1" t="s">
        <v>1731</v>
      </c>
      <c r="I305" s="194" t="s">
        <v>2240</v>
      </c>
      <c r="J305" s="186" t="s">
        <v>2713</v>
      </c>
    </row>
    <row r="306" spans="1:10" ht="15" customHeight="1" x14ac:dyDescent="0.3">
      <c r="A306" s="65" t="s">
        <v>2777</v>
      </c>
      <c r="B306" t="s">
        <v>2788</v>
      </c>
      <c r="C306" s="58" t="s">
        <v>12</v>
      </c>
      <c r="D306" s="1" t="s">
        <v>961</v>
      </c>
      <c r="E306" s="1">
        <v>2</v>
      </c>
      <c r="F306" s="1" t="s">
        <v>2062</v>
      </c>
      <c r="G306" s="1" t="s">
        <v>522</v>
      </c>
      <c r="H306" s="1" t="s">
        <v>1812</v>
      </c>
      <c r="I306" s="194" t="s">
        <v>2789</v>
      </c>
      <c r="J306" s="186" t="s">
        <v>2790</v>
      </c>
    </row>
    <row r="307" spans="1:10" ht="15" customHeight="1" x14ac:dyDescent="0.3">
      <c r="A307" s="65" t="s">
        <v>2777</v>
      </c>
      <c r="B307" t="s">
        <v>2840</v>
      </c>
      <c r="C307" s="58" t="s">
        <v>12</v>
      </c>
      <c r="D307" s="1" t="s">
        <v>550</v>
      </c>
      <c r="E307" s="1">
        <v>2</v>
      </c>
      <c r="F307" s="1" t="s">
        <v>2066</v>
      </c>
      <c r="G307" s="1" t="s">
        <v>522</v>
      </c>
      <c r="H307" s="1" t="s">
        <v>1731</v>
      </c>
      <c r="I307" s="194" t="s">
        <v>2837</v>
      </c>
      <c r="J307" s="186" t="s">
        <v>2922</v>
      </c>
    </row>
    <row r="308" spans="1:10" ht="15" customHeight="1" x14ac:dyDescent="0.3">
      <c r="A308" s="65" t="s">
        <v>2777</v>
      </c>
      <c r="B308" t="s">
        <v>2778</v>
      </c>
      <c r="C308" s="58" t="s">
        <v>11</v>
      </c>
      <c r="D308" s="1" t="s">
        <v>953</v>
      </c>
      <c r="E308" s="1" t="s">
        <v>1814</v>
      </c>
      <c r="F308" s="1" t="s">
        <v>1814</v>
      </c>
      <c r="G308" s="1" t="s">
        <v>522</v>
      </c>
      <c r="H308" s="1" t="s">
        <v>2779</v>
      </c>
      <c r="I308" s="194" t="s">
        <v>2780</v>
      </c>
      <c r="J308" s="186" t="s">
        <v>2781</v>
      </c>
    </row>
    <row r="309" spans="1:10" ht="15" customHeight="1" x14ac:dyDescent="0.3">
      <c r="A309" s="65" t="s">
        <v>2777</v>
      </c>
      <c r="B309" t="s">
        <v>2799</v>
      </c>
      <c r="C309" s="58" t="s">
        <v>12</v>
      </c>
      <c r="D309" s="1" t="s">
        <v>961</v>
      </c>
      <c r="E309" s="1" t="s">
        <v>1829</v>
      </c>
      <c r="F309" s="1" t="s">
        <v>1814</v>
      </c>
      <c r="G309" s="1" t="s">
        <v>522</v>
      </c>
      <c r="H309" s="1" t="s">
        <v>1838</v>
      </c>
      <c r="I309" s="194" t="s">
        <v>2798</v>
      </c>
      <c r="J309" s="186" t="s">
        <v>2923</v>
      </c>
    </row>
    <row r="310" spans="1:10" ht="15" customHeight="1" x14ac:dyDescent="0.3">
      <c r="A310" s="65" t="s">
        <v>2777</v>
      </c>
      <c r="B310" t="s">
        <v>2811</v>
      </c>
      <c r="C310" s="58" t="s">
        <v>12</v>
      </c>
      <c r="D310" s="1" t="s">
        <v>961</v>
      </c>
      <c r="E310" s="1">
        <v>1</v>
      </c>
      <c r="F310" s="1" t="s">
        <v>2812</v>
      </c>
      <c r="G310" s="1" t="s">
        <v>522</v>
      </c>
      <c r="H310" s="1" t="s">
        <v>1835</v>
      </c>
      <c r="I310" s="194" t="s">
        <v>2809</v>
      </c>
      <c r="J310" s="186" t="s">
        <v>2924</v>
      </c>
    </row>
    <row r="311" spans="1:10" ht="15" customHeight="1" x14ac:dyDescent="0.3">
      <c r="A311" s="65" t="s">
        <v>2777</v>
      </c>
      <c r="B311" t="s">
        <v>2782</v>
      </c>
      <c r="C311" s="58" t="s">
        <v>959</v>
      </c>
      <c r="D311" s="1" t="s">
        <v>962</v>
      </c>
      <c r="E311" s="1">
        <v>2</v>
      </c>
      <c r="F311" s="1" t="s">
        <v>2060</v>
      </c>
      <c r="G311" s="1" t="s">
        <v>522</v>
      </c>
      <c r="H311" s="1" t="s">
        <v>1932</v>
      </c>
      <c r="I311" s="194" t="s">
        <v>2780</v>
      </c>
      <c r="J311" s="186" t="s">
        <v>2783</v>
      </c>
    </row>
    <row r="312" spans="1:10" ht="15" customHeight="1" x14ac:dyDescent="0.3">
      <c r="A312" s="65" t="s">
        <v>2777</v>
      </c>
      <c r="B312" t="s">
        <v>2818</v>
      </c>
      <c r="C312" s="58" t="s">
        <v>959</v>
      </c>
      <c r="D312" s="1" t="s">
        <v>961</v>
      </c>
      <c r="E312" s="1">
        <v>1</v>
      </c>
      <c r="F312" s="1" t="s">
        <v>2066</v>
      </c>
      <c r="G312" s="1" t="s">
        <v>522</v>
      </c>
      <c r="H312" s="1" t="s">
        <v>1932</v>
      </c>
      <c r="I312" s="194" t="s">
        <v>2817</v>
      </c>
      <c r="J312" s="186" t="s">
        <v>2925</v>
      </c>
    </row>
    <row r="313" spans="1:10" ht="15" customHeight="1" x14ac:dyDescent="0.3">
      <c r="A313" s="65" t="s">
        <v>2777</v>
      </c>
      <c r="B313" t="s">
        <v>2816</v>
      </c>
      <c r="C313" s="58" t="s">
        <v>12</v>
      </c>
      <c r="D313" s="1" t="s">
        <v>953</v>
      </c>
      <c r="E313" s="1">
        <v>1</v>
      </c>
      <c r="F313" s="1" t="s">
        <v>2812</v>
      </c>
      <c r="G313" s="1" t="s">
        <v>522</v>
      </c>
      <c r="H313" s="1" t="s">
        <v>1932</v>
      </c>
      <c r="I313" s="194" t="s">
        <v>2817</v>
      </c>
      <c r="J313" s="186" t="s">
        <v>2926</v>
      </c>
    </row>
    <row r="314" spans="1:10" ht="15" customHeight="1" x14ac:dyDescent="0.3">
      <c r="A314" s="65" t="s">
        <v>2777</v>
      </c>
      <c r="B314" t="s">
        <v>2810</v>
      </c>
      <c r="C314" s="58" t="s">
        <v>959</v>
      </c>
      <c r="D314" s="1" t="s">
        <v>961</v>
      </c>
      <c r="E314" s="1">
        <v>1</v>
      </c>
      <c r="F314" s="1" t="s">
        <v>2759</v>
      </c>
      <c r="G314" s="1" t="s">
        <v>522</v>
      </c>
      <c r="H314" s="1" t="s">
        <v>1812</v>
      </c>
      <c r="I314" s="194" t="s">
        <v>2809</v>
      </c>
      <c r="J314" s="186" t="s">
        <v>2928</v>
      </c>
    </row>
    <row r="315" spans="1:10" ht="15" customHeight="1" x14ac:dyDescent="0.3">
      <c r="A315" s="65" t="s">
        <v>2777</v>
      </c>
      <c r="B315" t="s">
        <v>2828</v>
      </c>
      <c r="C315" s="58" t="s">
        <v>1728</v>
      </c>
      <c r="D315" s="1" t="s">
        <v>953</v>
      </c>
      <c r="E315" s="1">
        <v>1</v>
      </c>
      <c r="F315" s="1" t="s">
        <v>2060</v>
      </c>
      <c r="G315" s="1" t="s">
        <v>522</v>
      </c>
      <c r="H315" s="1" t="s">
        <v>1932</v>
      </c>
      <c r="I315" s="194" t="s">
        <v>2829</v>
      </c>
      <c r="J315" s="186" t="s">
        <v>2929</v>
      </c>
    </row>
    <row r="316" spans="1:10" ht="15" customHeight="1" x14ac:dyDescent="0.3">
      <c r="A316" s="65" t="s">
        <v>2777</v>
      </c>
      <c r="B316" t="s">
        <v>2796</v>
      </c>
      <c r="C316" s="58" t="s">
        <v>959</v>
      </c>
      <c r="D316" s="1" t="s">
        <v>961</v>
      </c>
      <c r="E316" s="1">
        <v>1</v>
      </c>
      <c r="F316" s="1" t="s">
        <v>2060</v>
      </c>
      <c r="G316" s="1" t="s">
        <v>522</v>
      </c>
      <c r="H316" s="1" t="s">
        <v>958</v>
      </c>
      <c r="I316" s="194" t="s">
        <v>2794</v>
      </c>
      <c r="J316" s="186" t="s">
        <v>2930</v>
      </c>
    </row>
    <row r="317" spans="1:10" ht="15" customHeight="1" x14ac:dyDescent="0.3">
      <c r="A317" s="65" t="s">
        <v>2777</v>
      </c>
      <c r="B317" t="s">
        <v>2094</v>
      </c>
      <c r="C317" s="58" t="s">
        <v>13</v>
      </c>
      <c r="D317" s="1" t="s">
        <v>961</v>
      </c>
      <c r="E317" s="1">
        <v>2</v>
      </c>
      <c r="F317" s="1" t="s">
        <v>2060</v>
      </c>
      <c r="G317" s="1" t="s">
        <v>522</v>
      </c>
      <c r="H317" s="1" t="s">
        <v>1932</v>
      </c>
      <c r="I317" s="194" t="s">
        <v>2797</v>
      </c>
      <c r="J317" s="186" t="s">
        <v>2933</v>
      </c>
    </row>
    <row r="318" spans="1:10" ht="15" customHeight="1" x14ac:dyDescent="0.3">
      <c r="A318" s="65" t="s">
        <v>2777</v>
      </c>
      <c r="B318" t="s">
        <v>2801</v>
      </c>
      <c r="C318" s="58" t="s">
        <v>12</v>
      </c>
      <c r="D318" s="1" t="s">
        <v>961</v>
      </c>
      <c r="E318" s="1">
        <v>1</v>
      </c>
      <c r="F318" s="1" t="s">
        <v>2060</v>
      </c>
      <c r="G318" s="1" t="s">
        <v>522</v>
      </c>
      <c r="H318" s="1" t="s">
        <v>2802</v>
      </c>
      <c r="I318" s="194" t="s">
        <v>2798</v>
      </c>
      <c r="J318" s="186" t="s">
        <v>2934</v>
      </c>
    </row>
    <row r="319" spans="1:10" ht="15" customHeight="1" x14ac:dyDescent="0.3">
      <c r="A319" s="65" t="s">
        <v>2777</v>
      </c>
      <c r="B319" t="s">
        <v>2815</v>
      </c>
      <c r="C319" s="58" t="s">
        <v>12</v>
      </c>
      <c r="D319" s="1" t="s">
        <v>953</v>
      </c>
      <c r="E319" s="1">
        <v>1</v>
      </c>
      <c r="F319" s="1" t="s">
        <v>2812</v>
      </c>
      <c r="G319" s="1" t="s">
        <v>522</v>
      </c>
      <c r="H319" s="1" t="s">
        <v>1932</v>
      </c>
      <c r="I319" s="194" t="s">
        <v>2814</v>
      </c>
      <c r="J319" s="186" t="s">
        <v>2927</v>
      </c>
    </row>
    <row r="320" spans="1:10" ht="15" customHeight="1" x14ac:dyDescent="0.3">
      <c r="A320" s="65" t="s">
        <v>2777</v>
      </c>
      <c r="B320" t="s">
        <v>2841</v>
      </c>
      <c r="C320" s="58" t="s">
        <v>959</v>
      </c>
      <c r="D320" s="1" t="s">
        <v>961</v>
      </c>
      <c r="E320" s="1">
        <v>1</v>
      </c>
      <c r="F320" s="1" t="s">
        <v>2472</v>
      </c>
      <c r="G320" s="1" t="s">
        <v>522</v>
      </c>
      <c r="H320" s="1" t="s">
        <v>1731</v>
      </c>
      <c r="I320" s="194" t="s">
        <v>2842</v>
      </c>
      <c r="J320" s="186" t="s">
        <v>2935</v>
      </c>
    </row>
    <row r="321" spans="1:10" ht="15" customHeight="1" x14ac:dyDescent="0.3">
      <c r="A321" s="65" t="s">
        <v>2777</v>
      </c>
      <c r="B321" t="s">
        <v>2800</v>
      </c>
      <c r="C321" s="58" t="s">
        <v>959</v>
      </c>
      <c r="D321" s="1" t="s">
        <v>961</v>
      </c>
      <c r="E321" s="1">
        <v>2</v>
      </c>
      <c r="F321" s="1" t="s">
        <v>960</v>
      </c>
      <c r="G321" s="1" t="s">
        <v>522</v>
      </c>
      <c r="H321" s="1" t="s">
        <v>958</v>
      </c>
      <c r="I321" s="194" t="s">
        <v>2798</v>
      </c>
      <c r="J321" s="186" t="s">
        <v>2936</v>
      </c>
    </row>
    <row r="322" spans="1:10" ht="15" customHeight="1" x14ac:dyDescent="0.3">
      <c r="A322" s="65" t="s">
        <v>2777</v>
      </c>
      <c r="B322" t="s">
        <v>2784</v>
      </c>
      <c r="C322" s="58" t="s">
        <v>1728</v>
      </c>
      <c r="D322" s="1" t="s">
        <v>953</v>
      </c>
      <c r="E322" s="1">
        <v>2</v>
      </c>
      <c r="F322" s="1" t="s">
        <v>10</v>
      </c>
      <c r="G322" s="1" t="s">
        <v>522</v>
      </c>
      <c r="H322" s="1" t="s">
        <v>2785</v>
      </c>
      <c r="I322" s="194" t="s">
        <v>2786</v>
      </c>
      <c r="J322" s="186" t="s">
        <v>2787</v>
      </c>
    </row>
    <row r="323" spans="1:10" ht="15" customHeight="1" x14ac:dyDescent="0.3">
      <c r="A323" s="65" t="s">
        <v>2777</v>
      </c>
      <c r="B323" t="s">
        <v>2821</v>
      </c>
      <c r="C323" s="58" t="s">
        <v>11</v>
      </c>
      <c r="D323" s="1" t="s">
        <v>953</v>
      </c>
      <c r="E323" s="1" t="s">
        <v>1814</v>
      </c>
      <c r="F323" s="1" t="s">
        <v>1814</v>
      </c>
      <c r="G323" s="1" t="s">
        <v>522</v>
      </c>
      <c r="H323" s="1" t="s">
        <v>1731</v>
      </c>
      <c r="I323" s="194" t="s">
        <v>2820</v>
      </c>
      <c r="J323" s="186" t="s">
        <v>2937</v>
      </c>
    </row>
    <row r="324" spans="1:10" ht="15" customHeight="1" x14ac:dyDescent="0.3">
      <c r="A324" s="65" t="s">
        <v>2777</v>
      </c>
      <c r="B324" t="s">
        <v>2803</v>
      </c>
      <c r="C324" s="58" t="s">
        <v>12</v>
      </c>
      <c r="D324" s="1" t="s">
        <v>1938</v>
      </c>
      <c r="E324" s="1" t="s">
        <v>1802</v>
      </c>
      <c r="F324" s="1" t="s">
        <v>2804</v>
      </c>
      <c r="G324" s="1" t="s">
        <v>522</v>
      </c>
      <c r="H324" s="1" t="s">
        <v>1731</v>
      </c>
      <c r="I324" s="194" t="s">
        <v>2805</v>
      </c>
      <c r="J324" s="186" t="s">
        <v>2938</v>
      </c>
    </row>
    <row r="325" spans="1:10" ht="15" customHeight="1" x14ac:dyDescent="0.3">
      <c r="A325" s="65" t="s">
        <v>2777</v>
      </c>
      <c r="B325" t="s">
        <v>2813</v>
      </c>
      <c r="C325" s="58" t="s">
        <v>1728</v>
      </c>
      <c r="D325" s="1" t="s">
        <v>953</v>
      </c>
      <c r="E325" s="1">
        <v>1</v>
      </c>
      <c r="F325" s="1" t="s">
        <v>2066</v>
      </c>
      <c r="G325" s="1" t="s">
        <v>522</v>
      </c>
      <c r="H325" s="1" t="s">
        <v>2785</v>
      </c>
      <c r="I325" s="194" t="s">
        <v>2814</v>
      </c>
      <c r="J325" s="186" t="s">
        <v>2939</v>
      </c>
    </row>
    <row r="326" spans="1:10" ht="15" customHeight="1" x14ac:dyDescent="0.3">
      <c r="A326" s="65" t="s">
        <v>2777</v>
      </c>
      <c r="B326" t="s">
        <v>2845</v>
      </c>
      <c r="C326" s="58" t="s">
        <v>11</v>
      </c>
      <c r="D326" s="1" t="s">
        <v>953</v>
      </c>
      <c r="E326" s="1">
        <v>1</v>
      </c>
      <c r="F326" s="1" t="s">
        <v>10</v>
      </c>
      <c r="G326" s="1" t="s">
        <v>522</v>
      </c>
      <c r="H326" s="1" t="s">
        <v>2846</v>
      </c>
      <c r="I326" s="194" t="s">
        <v>2844</v>
      </c>
      <c r="J326" s="186" t="s">
        <v>2940</v>
      </c>
    </row>
    <row r="327" spans="1:10" ht="15" customHeight="1" x14ac:dyDescent="0.3">
      <c r="A327" s="65" t="s">
        <v>2777</v>
      </c>
      <c r="B327" t="s">
        <v>2847</v>
      </c>
      <c r="C327" s="58" t="s">
        <v>1728</v>
      </c>
      <c r="D327" s="1" t="s">
        <v>550</v>
      </c>
      <c r="E327" s="1">
        <v>1</v>
      </c>
      <c r="F327" s="1" t="s">
        <v>2066</v>
      </c>
      <c r="G327" s="1" t="s">
        <v>522</v>
      </c>
      <c r="H327" s="1" t="s">
        <v>1932</v>
      </c>
      <c r="I327" s="194" t="s">
        <v>2844</v>
      </c>
      <c r="J327" s="186" t="s">
        <v>2941</v>
      </c>
    </row>
    <row r="328" spans="1:10" ht="15" customHeight="1" x14ac:dyDescent="0.3">
      <c r="A328" s="65" t="s">
        <v>2777</v>
      </c>
      <c r="B328" t="s">
        <v>2808</v>
      </c>
      <c r="C328" s="58" t="s">
        <v>1728</v>
      </c>
      <c r="D328" s="1" t="s">
        <v>953</v>
      </c>
      <c r="E328" s="1">
        <v>1</v>
      </c>
      <c r="F328" s="1" t="s">
        <v>960</v>
      </c>
      <c r="G328" s="1" t="s">
        <v>522</v>
      </c>
      <c r="H328" s="1" t="s">
        <v>1838</v>
      </c>
      <c r="I328" s="194" t="s">
        <v>2809</v>
      </c>
      <c r="J328" s="186" t="s">
        <v>2942</v>
      </c>
    </row>
    <row r="329" spans="1:10" ht="15" customHeight="1" x14ac:dyDescent="0.3">
      <c r="A329" s="65" t="s">
        <v>2777</v>
      </c>
      <c r="B329" t="s">
        <v>2838</v>
      </c>
      <c r="C329" s="58" t="s">
        <v>1728</v>
      </c>
      <c r="D329" s="1" t="s">
        <v>961</v>
      </c>
      <c r="E329" s="1">
        <v>1</v>
      </c>
      <c r="F329" s="1" t="s">
        <v>10</v>
      </c>
      <c r="G329" s="1" t="s">
        <v>522</v>
      </c>
      <c r="H329" s="1" t="s">
        <v>2839</v>
      </c>
      <c r="I329" s="194" t="s">
        <v>2837</v>
      </c>
      <c r="J329" s="186" t="s">
        <v>2943</v>
      </c>
    </row>
    <row r="330" spans="1:10" ht="15" customHeight="1" x14ac:dyDescent="0.3">
      <c r="A330" s="65" t="s">
        <v>2777</v>
      </c>
      <c r="B330" t="s">
        <v>2830</v>
      </c>
      <c r="C330" s="58" t="s">
        <v>959</v>
      </c>
      <c r="D330" s="1" t="s">
        <v>962</v>
      </c>
      <c r="E330" s="1">
        <v>1</v>
      </c>
      <c r="F330" s="1" t="s">
        <v>960</v>
      </c>
      <c r="G330" s="1" t="s">
        <v>522</v>
      </c>
      <c r="H330" s="1" t="s">
        <v>2831</v>
      </c>
      <c r="I330" s="194" t="s">
        <v>2829</v>
      </c>
      <c r="J330" s="186" t="s">
        <v>2945</v>
      </c>
    </row>
    <row r="331" spans="1:10" ht="15" customHeight="1" x14ac:dyDescent="0.3">
      <c r="A331" s="65" t="s">
        <v>2777</v>
      </c>
      <c r="B331" t="s">
        <v>2806</v>
      </c>
      <c r="C331" s="58" t="s">
        <v>12</v>
      </c>
      <c r="D331" s="1" t="s">
        <v>961</v>
      </c>
      <c r="E331" s="1">
        <v>2</v>
      </c>
      <c r="F331" s="1" t="s">
        <v>2060</v>
      </c>
      <c r="G331" s="1" t="s">
        <v>522</v>
      </c>
      <c r="H331" s="1" t="s">
        <v>1731</v>
      </c>
      <c r="I331" s="194" t="s">
        <v>2807</v>
      </c>
      <c r="J331" s="186" t="s">
        <v>2944</v>
      </c>
    </row>
    <row r="332" spans="1:10" ht="15" customHeight="1" x14ac:dyDescent="0.3">
      <c r="A332" s="65" t="s">
        <v>2777</v>
      </c>
      <c r="B332" t="s">
        <v>2819</v>
      </c>
      <c r="C332" s="58" t="s">
        <v>1728</v>
      </c>
      <c r="D332" s="1" t="s">
        <v>550</v>
      </c>
      <c r="E332" s="1" t="s">
        <v>981</v>
      </c>
      <c r="F332" s="1" t="s">
        <v>960</v>
      </c>
      <c r="G332" s="1" t="s">
        <v>522</v>
      </c>
      <c r="H332" s="1" t="s">
        <v>958</v>
      </c>
      <c r="I332" s="194" t="s">
        <v>2820</v>
      </c>
      <c r="J332" s="186" t="s">
        <v>2949</v>
      </c>
    </row>
    <row r="333" spans="1:10" ht="15" customHeight="1" x14ac:dyDescent="0.3">
      <c r="A333" s="65" t="s">
        <v>2777</v>
      </c>
      <c r="B333" t="s">
        <v>2843</v>
      </c>
      <c r="C333" s="58" t="s">
        <v>959</v>
      </c>
      <c r="D333" s="1" t="s">
        <v>961</v>
      </c>
      <c r="E333" s="1">
        <v>1</v>
      </c>
      <c r="F333" s="1" t="s">
        <v>2060</v>
      </c>
      <c r="G333" s="1" t="s">
        <v>522</v>
      </c>
      <c r="H333" s="1" t="s">
        <v>958</v>
      </c>
      <c r="I333" s="194" t="s">
        <v>2844</v>
      </c>
      <c r="J333" s="186" t="s">
        <v>2946</v>
      </c>
    </row>
    <row r="334" spans="1:10" ht="15" customHeight="1" x14ac:dyDescent="0.3">
      <c r="A334" s="65" t="s">
        <v>2777</v>
      </c>
      <c r="B334" t="s">
        <v>2832</v>
      </c>
      <c r="C334" s="58" t="s">
        <v>959</v>
      </c>
      <c r="D334" s="1" t="s">
        <v>953</v>
      </c>
      <c r="E334" s="1">
        <v>2</v>
      </c>
      <c r="F334" s="1" t="s">
        <v>2833</v>
      </c>
      <c r="G334" s="1" t="s">
        <v>522</v>
      </c>
      <c r="H334" s="1" t="s">
        <v>1731</v>
      </c>
      <c r="I334" s="194" t="s">
        <v>2834</v>
      </c>
      <c r="J334" s="186" t="s">
        <v>2947</v>
      </c>
    </row>
    <row r="335" spans="1:10" ht="15" customHeight="1" x14ac:dyDescent="0.3">
      <c r="A335" s="65" t="s">
        <v>2777</v>
      </c>
      <c r="B335" t="s">
        <v>2793</v>
      </c>
      <c r="C335" s="58" t="s">
        <v>12</v>
      </c>
      <c r="D335" s="1" t="s">
        <v>961</v>
      </c>
      <c r="E335" s="1">
        <v>2</v>
      </c>
      <c r="F335" s="1" t="s">
        <v>1814</v>
      </c>
      <c r="G335" s="1" t="s">
        <v>522</v>
      </c>
      <c r="H335" s="1" t="s">
        <v>1932</v>
      </c>
      <c r="I335" s="194" t="s">
        <v>2794</v>
      </c>
      <c r="J335" s="186" t="s">
        <v>2795</v>
      </c>
    </row>
    <row r="336" spans="1:10" ht="15" customHeight="1" x14ac:dyDescent="0.3">
      <c r="A336" s="65" t="s">
        <v>2777</v>
      </c>
      <c r="B336" t="s">
        <v>2822</v>
      </c>
      <c r="C336" s="58" t="s">
        <v>12</v>
      </c>
      <c r="D336" s="1" t="s">
        <v>963</v>
      </c>
      <c r="E336" s="1" t="s">
        <v>1802</v>
      </c>
      <c r="F336" s="1" t="s">
        <v>1814</v>
      </c>
      <c r="G336" s="1" t="s">
        <v>522</v>
      </c>
      <c r="H336" s="1" t="s">
        <v>958</v>
      </c>
      <c r="I336" s="194" t="s">
        <v>2823</v>
      </c>
      <c r="J336" s="186" t="s">
        <v>2948</v>
      </c>
    </row>
    <row r="337" spans="1:10" ht="15" customHeight="1" x14ac:dyDescent="0.3">
      <c r="A337" s="65" t="s">
        <v>2777</v>
      </c>
      <c r="B337" t="s">
        <v>2792</v>
      </c>
      <c r="C337" s="58" t="s">
        <v>1728</v>
      </c>
      <c r="D337" s="1" t="s">
        <v>953</v>
      </c>
      <c r="E337" s="1">
        <v>1</v>
      </c>
      <c r="F337" s="1" t="s">
        <v>2759</v>
      </c>
      <c r="G337" s="1" t="s">
        <v>522</v>
      </c>
      <c r="H337" s="1" t="s">
        <v>2785</v>
      </c>
      <c r="I337" s="194" t="s">
        <v>2789</v>
      </c>
      <c r="J337" s="186" t="s">
        <v>2791</v>
      </c>
    </row>
    <row r="338" spans="1:10" ht="15" customHeight="1" x14ac:dyDescent="0.3">
      <c r="A338" s="65" t="s">
        <v>2777</v>
      </c>
      <c r="B338" t="s">
        <v>2824</v>
      </c>
      <c r="C338" s="58" t="s">
        <v>959</v>
      </c>
      <c r="D338" s="1" t="s">
        <v>962</v>
      </c>
      <c r="E338" s="1">
        <v>2</v>
      </c>
      <c r="F338" s="1" t="s">
        <v>2825</v>
      </c>
      <c r="G338" s="1" t="s">
        <v>522</v>
      </c>
      <c r="H338" s="1" t="s">
        <v>958</v>
      </c>
      <c r="I338" s="194" t="s">
        <v>2826</v>
      </c>
      <c r="J338" s="186" t="s">
        <v>2950</v>
      </c>
    </row>
    <row r="339" spans="1:10" ht="15" customHeight="1" x14ac:dyDescent="0.3">
      <c r="A339" s="65" t="s">
        <v>2777</v>
      </c>
      <c r="B339" t="s">
        <v>2827</v>
      </c>
      <c r="C339" s="58" t="s">
        <v>1728</v>
      </c>
      <c r="D339" s="1" t="s">
        <v>961</v>
      </c>
      <c r="E339" s="1">
        <v>1</v>
      </c>
      <c r="F339" s="1" t="s">
        <v>960</v>
      </c>
      <c r="G339" s="1" t="s">
        <v>522</v>
      </c>
      <c r="H339" s="1" t="s">
        <v>2785</v>
      </c>
      <c r="I339" s="194" t="s">
        <v>2826</v>
      </c>
      <c r="J339" s="186" t="s">
        <v>2951</v>
      </c>
    </row>
    <row r="340" spans="1:10" ht="15" customHeight="1" x14ac:dyDescent="0.3">
      <c r="A340" s="65" t="s">
        <v>2777</v>
      </c>
      <c r="B340" t="s">
        <v>2835</v>
      </c>
      <c r="C340" s="58" t="s">
        <v>1728</v>
      </c>
      <c r="D340" s="1" t="s">
        <v>961</v>
      </c>
      <c r="E340" s="1">
        <v>2</v>
      </c>
      <c r="F340" s="1" t="s">
        <v>2836</v>
      </c>
      <c r="G340" s="1" t="s">
        <v>522</v>
      </c>
      <c r="H340" s="1" t="s">
        <v>2064</v>
      </c>
      <c r="I340" s="194" t="s">
        <v>2837</v>
      </c>
      <c r="J340" s="186" t="s">
        <v>2952</v>
      </c>
    </row>
    <row r="341" spans="1:10" ht="15" customHeight="1" x14ac:dyDescent="0.3">
      <c r="A341" s="65" t="s">
        <v>2270</v>
      </c>
      <c r="B341" t="s">
        <v>2284</v>
      </c>
      <c r="C341" s="58" t="s">
        <v>12</v>
      </c>
      <c r="D341" s="1">
        <v>7</v>
      </c>
      <c r="E341" s="1" t="s">
        <v>2088</v>
      </c>
      <c r="F341" s="1" t="s">
        <v>2070</v>
      </c>
      <c r="G341" s="1" t="s">
        <v>522</v>
      </c>
      <c r="H341" s="1" t="s">
        <v>1731</v>
      </c>
      <c r="I341" s="194" t="s">
        <v>2285</v>
      </c>
      <c r="J341" s="186" t="s">
        <v>2714</v>
      </c>
    </row>
    <row r="342" spans="1:10" ht="15" customHeight="1" x14ac:dyDescent="0.3">
      <c r="A342" s="65" t="s">
        <v>2270</v>
      </c>
      <c r="B342" t="s">
        <v>2300</v>
      </c>
      <c r="C342" s="58" t="s">
        <v>12</v>
      </c>
      <c r="D342" s="1">
        <v>9</v>
      </c>
      <c r="E342" s="1" t="s">
        <v>1822</v>
      </c>
      <c r="F342" s="1" t="s">
        <v>2070</v>
      </c>
      <c r="G342" s="1" t="s">
        <v>522</v>
      </c>
      <c r="H342" s="1" t="s">
        <v>1731</v>
      </c>
      <c r="I342" s="194" t="s">
        <v>2302</v>
      </c>
      <c r="J342" s="186" t="s">
        <v>2730</v>
      </c>
    </row>
    <row r="343" spans="1:10" ht="15" customHeight="1" x14ac:dyDescent="0.3">
      <c r="A343" s="65" t="s">
        <v>2270</v>
      </c>
      <c r="B343" t="s">
        <v>2329</v>
      </c>
      <c r="C343" s="58" t="s">
        <v>959</v>
      </c>
      <c r="D343" s="1">
        <v>7</v>
      </c>
      <c r="E343" s="1" t="s">
        <v>1829</v>
      </c>
      <c r="F343" s="1" t="s">
        <v>2070</v>
      </c>
      <c r="G343" s="1" t="s">
        <v>522</v>
      </c>
      <c r="H343" s="1" t="s">
        <v>958</v>
      </c>
      <c r="I343" s="194" t="s">
        <v>2330</v>
      </c>
      <c r="J343" s="186" t="s">
        <v>2908</v>
      </c>
    </row>
    <row r="344" spans="1:10" ht="15" customHeight="1" x14ac:dyDescent="0.3">
      <c r="A344" s="65" t="s">
        <v>2270</v>
      </c>
      <c r="B344" t="s">
        <v>2307</v>
      </c>
      <c r="C344" s="58" t="s">
        <v>1728</v>
      </c>
      <c r="D344" s="1" t="s">
        <v>1811</v>
      </c>
      <c r="E344" s="1" t="s">
        <v>1894</v>
      </c>
      <c r="F344" s="1" t="s">
        <v>960</v>
      </c>
      <c r="G344" s="1" t="s">
        <v>522</v>
      </c>
      <c r="H344" s="1" t="s">
        <v>1828</v>
      </c>
      <c r="I344" s="194" t="s">
        <v>2309</v>
      </c>
      <c r="J344" s="186" t="s">
        <v>2737</v>
      </c>
    </row>
    <row r="345" spans="1:10" ht="15" customHeight="1" x14ac:dyDescent="0.3">
      <c r="A345" s="65" t="s">
        <v>2270</v>
      </c>
      <c r="B345" t="s">
        <v>2318</v>
      </c>
      <c r="C345" s="58" t="s">
        <v>13</v>
      </c>
      <c r="D345" s="1">
        <v>7</v>
      </c>
      <c r="E345" s="1" t="s">
        <v>1829</v>
      </c>
      <c r="F345" s="1" t="s">
        <v>2070</v>
      </c>
      <c r="G345" s="1" t="s">
        <v>522</v>
      </c>
      <c r="H345" s="1" t="s">
        <v>2064</v>
      </c>
      <c r="I345" s="194" t="s">
        <v>2328</v>
      </c>
      <c r="J345" s="186" t="s">
        <v>2907</v>
      </c>
    </row>
    <row r="346" spans="1:10" ht="15" customHeight="1" x14ac:dyDescent="0.3">
      <c r="A346" s="65" t="s">
        <v>2270</v>
      </c>
      <c r="B346" t="s">
        <v>2279</v>
      </c>
      <c r="C346" s="58" t="s">
        <v>12</v>
      </c>
      <c r="D346" s="1">
        <v>7</v>
      </c>
      <c r="E346" s="1" t="s">
        <v>2281</v>
      </c>
      <c r="F346" s="1" t="s">
        <v>2282</v>
      </c>
      <c r="G346" s="1" t="s">
        <v>522</v>
      </c>
      <c r="H346" s="1" t="s">
        <v>1731</v>
      </c>
      <c r="I346" s="194" t="s">
        <v>2283</v>
      </c>
      <c r="J346" s="186" t="s">
        <v>2595</v>
      </c>
    </row>
    <row r="347" spans="1:10" ht="15" customHeight="1" x14ac:dyDescent="0.3">
      <c r="A347" s="65" t="s">
        <v>2270</v>
      </c>
      <c r="B347" t="s">
        <v>2286</v>
      </c>
      <c r="C347" s="58" t="s">
        <v>12</v>
      </c>
      <c r="D347" s="1" t="s">
        <v>2496</v>
      </c>
      <c r="E347" s="1" t="s">
        <v>1829</v>
      </c>
      <c r="F347" s="1" t="s">
        <v>960</v>
      </c>
      <c r="G347" s="1" t="s">
        <v>522</v>
      </c>
      <c r="H347" s="1" t="s">
        <v>1731</v>
      </c>
      <c r="I347" s="194" t="s">
        <v>2287</v>
      </c>
      <c r="J347" s="186" t="s">
        <v>2597</v>
      </c>
    </row>
    <row r="348" spans="1:10" ht="15" customHeight="1" x14ac:dyDescent="0.3">
      <c r="A348" s="65" t="s">
        <v>2270</v>
      </c>
      <c r="B348" t="s">
        <v>2331</v>
      </c>
      <c r="C348" s="58" t="s">
        <v>12</v>
      </c>
      <c r="D348" s="1">
        <v>7</v>
      </c>
      <c r="E348" s="1">
        <v>1</v>
      </c>
      <c r="F348" s="1" t="s">
        <v>1814</v>
      </c>
      <c r="G348" s="1" t="s">
        <v>522</v>
      </c>
      <c r="H348" s="1" t="s">
        <v>958</v>
      </c>
      <c r="I348" s="194" t="s">
        <v>2330</v>
      </c>
      <c r="J348" s="186" t="s">
        <v>2909</v>
      </c>
    </row>
    <row r="349" spans="1:10" ht="15" customHeight="1" x14ac:dyDescent="0.3">
      <c r="A349" s="65" t="s">
        <v>2270</v>
      </c>
      <c r="B349" t="s">
        <v>2333</v>
      </c>
      <c r="C349" s="58" t="s">
        <v>959</v>
      </c>
      <c r="D349" s="1" t="s">
        <v>2910</v>
      </c>
      <c r="E349" s="1" t="s">
        <v>2088</v>
      </c>
      <c r="F349" s="1" t="s">
        <v>2472</v>
      </c>
      <c r="G349" s="1" t="s">
        <v>522</v>
      </c>
      <c r="H349" s="1" t="s">
        <v>2061</v>
      </c>
      <c r="I349" s="194" t="s">
        <v>2332</v>
      </c>
      <c r="J349" s="186" t="s">
        <v>2911</v>
      </c>
    </row>
    <row r="350" spans="1:10" ht="15" customHeight="1" x14ac:dyDescent="0.3">
      <c r="A350" s="65" t="s">
        <v>2270</v>
      </c>
      <c r="B350" t="s">
        <v>2289</v>
      </c>
      <c r="C350" s="58" t="s">
        <v>11</v>
      </c>
      <c r="D350" s="1">
        <v>5</v>
      </c>
      <c r="E350" s="1" t="s">
        <v>1829</v>
      </c>
      <c r="F350" s="1" t="s">
        <v>2290</v>
      </c>
      <c r="G350" s="1" t="s">
        <v>522</v>
      </c>
      <c r="H350" s="1" t="s">
        <v>2291</v>
      </c>
      <c r="I350" s="194" t="s">
        <v>2292</v>
      </c>
      <c r="J350" s="186" t="s">
        <v>2725</v>
      </c>
    </row>
    <row r="351" spans="1:10" ht="15" customHeight="1" x14ac:dyDescent="0.3">
      <c r="A351" s="65" t="s">
        <v>2270</v>
      </c>
      <c r="B351" t="s">
        <v>2304</v>
      </c>
      <c r="C351" s="58" t="s">
        <v>1728</v>
      </c>
      <c r="D351" s="1">
        <v>11</v>
      </c>
      <c r="E351" s="1" t="s">
        <v>1888</v>
      </c>
      <c r="F351" s="1" t="s">
        <v>2282</v>
      </c>
      <c r="G351" s="1" t="s">
        <v>522</v>
      </c>
      <c r="H351" s="1" t="s">
        <v>1981</v>
      </c>
      <c r="I351" s="194" t="s">
        <v>2306</v>
      </c>
      <c r="J351" s="186" t="s">
        <v>2736</v>
      </c>
    </row>
    <row r="352" spans="1:10" ht="15" customHeight="1" x14ac:dyDescent="0.3">
      <c r="A352" s="65" t="s">
        <v>2270</v>
      </c>
      <c r="B352" t="s">
        <v>2733</v>
      </c>
      <c r="C352" s="58" t="s">
        <v>11</v>
      </c>
      <c r="D352" s="1">
        <v>5</v>
      </c>
      <c r="E352" s="1" t="s">
        <v>1895</v>
      </c>
      <c r="F352" s="1" t="s">
        <v>2063</v>
      </c>
      <c r="G352" s="1" t="s">
        <v>522</v>
      </c>
      <c r="H352" s="1" t="s">
        <v>1981</v>
      </c>
      <c r="I352" s="194" t="s">
        <v>2303</v>
      </c>
      <c r="J352" s="186" t="s">
        <v>2732</v>
      </c>
    </row>
    <row r="353" spans="1:10" ht="15" customHeight="1" x14ac:dyDescent="0.3">
      <c r="A353" s="65" t="s">
        <v>2270</v>
      </c>
      <c r="B353" t="s">
        <v>2273</v>
      </c>
      <c r="C353" s="58" t="s">
        <v>12</v>
      </c>
      <c r="D353" s="1">
        <v>5</v>
      </c>
      <c r="E353" s="1" t="s">
        <v>2274</v>
      </c>
      <c r="F353" s="1" t="s">
        <v>2070</v>
      </c>
      <c r="G353" s="1" t="s">
        <v>522</v>
      </c>
      <c r="H353" s="1" t="s">
        <v>1731</v>
      </c>
      <c r="I353" s="194" t="s">
        <v>2275</v>
      </c>
      <c r="J353" s="186" t="s">
        <v>2593</v>
      </c>
    </row>
    <row r="354" spans="1:10" ht="15" customHeight="1" x14ac:dyDescent="0.3">
      <c r="A354" s="65" t="s">
        <v>2270</v>
      </c>
      <c r="B354" t="s">
        <v>2277</v>
      </c>
      <c r="C354" s="58" t="s">
        <v>1728</v>
      </c>
      <c r="D354" s="1">
        <v>7</v>
      </c>
      <c r="E354" s="1" t="s">
        <v>1740</v>
      </c>
      <c r="F354" s="1" t="s">
        <v>2295</v>
      </c>
      <c r="G354" s="1" t="s">
        <v>522</v>
      </c>
      <c r="H354" s="1" t="s">
        <v>1731</v>
      </c>
      <c r="I354" s="194" t="s">
        <v>2278</v>
      </c>
      <c r="J354" s="186" t="s">
        <v>2594</v>
      </c>
    </row>
    <row r="355" spans="1:10" ht="15" customHeight="1" x14ac:dyDescent="0.3">
      <c r="A355" s="65" t="s">
        <v>2270</v>
      </c>
      <c r="B355" t="s">
        <v>2288</v>
      </c>
      <c r="C355" s="58" t="s">
        <v>12</v>
      </c>
      <c r="D355" s="1">
        <v>7</v>
      </c>
      <c r="E355" s="1" t="s">
        <v>2281</v>
      </c>
      <c r="F355" s="1" t="s">
        <v>2282</v>
      </c>
      <c r="G355" s="1" t="s">
        <v>522</v>
      </c>
      <c r="H355" s="1" t="s">
        <v>1731</v>
      </c>
      <c r="I355" s="194" t="s">
        <v>2287</v>
      </c>
      <c r="J355" s="186" t="s">
        <v>2598</v>
      </c>
    </row>
    <row r="356" spans="1:10" ht="15" customHeight="1" x14ac:dyDescent="0.3">
      <c r="A356" s="65" t="s">
        <v>2270</v>
      </c>
      <c r="B356" t="s">
        <v>2299</v>
      </c>
      <c r="C356" s="58" t="s">
        <v>1728</v>
      </c>
      <c r="D356" s="1">
        <v>3</v>
      </c>
      <c r="E356" s="1">
        <v>2</v>
      </c>
      <c r="F356" s="1" t="s">
        <v>960</v>
      </c>
      <c r="G356" s="1" t="s">
        <v>522</v>
      </c>
      <c r="H356" s="1" t="s">
        <v>2064</v>
      </c>
      <c r="I356" s="194" t="s">
        <v>2298</v>
      </c>
      <c r="J356" s="186" t="s">
        <v>2727</v>
      </c>
    </row>
    <row r="357" spans="1:10" ht="15" customHeight="1" x14ac:dyDescent="0.3">
      <c r="A357" s="65" t="s">
        <v>2270</v>
      </c>
      <c r="B357" t="s">
        <v>2316</v>
      </c>
      <c r="C357" s="58" t="s">
        <v>1728</v>
      </c>
      <c r="D357" s="1">
        <v>11</v>
      </c>
      <c r="E357" s="1" t="s">
        <v>2088</v>
      </c>
      <c r="F357" s="1" t="s">
        <v>2282</v>
      </c>
      <c r="G357" s="1" t="s">
        <v>522</v>
      </c>
      <c r="H357" s="1" t="s">
        <v>1731</v>
      </c>
      <c r="I357" s="194" t="s">
        <v>2317</v>
      </c>
      <c r="J357" s="186" t="s">
        <v>2906</v>
      </c>
    </row>
    <row r="358" spans="1:10" ht="15" customHeight="1" x14ac:dyDescent="0.3">
      <c r="A358" s="65" t="s">
        <v>2270</v>
      </c>
      <c r="B358" t="s">
        <v>2271</v>
      </c>
      <c r="C358" s="58" t="s">
        <v>1728</v>
      </c>
      <c r="D358" s="1">
        <v>9</v>
      </c>
      <c r="E358" s="1" t="s">
        <v>2088</v>
      </c>
      <c r="F358" s="1" t="s">
        <v>2070</v>
      </c>
      <c r="G358" s="1" t="s">
        <v>522</v>
      </c>
      <c r="H358" s="1" t="s">
        <v>1731</v>
      </c>
      <c r="I358" s="194" t="s">
        <v>2272</v>
      </c>
      <c r="J358" s="186" t="s">
        <v>2608</v>
      </c>
    </row>
    <row r="359" spans="1:10" ht="15" customHeight="1" x14ac:dyDescent="0.3">
      <c r="A359" s="65" t="s">
        <v>2270</v>
      </c>
      <c r="B359" t="s">
        <v>2305</v>
      </c>
      <c r="C359" s="58" t="s">
        <v>1728</v>
      </c>
      <c r="D359" s="1">
        <v>9</v>
      </c>
      <c r="E359" s="1" t="s">
        <v>2281</v>
      </c>
      <c r="F359" s="1" t="s">
        <v>1814</v>
      </c>
      <c r="G359" s="1" t="s">
        <v>522</v>
      </c>
      <c r="H359" s="1" t="s">
        <v>1731</v>
      </c>
      <c r="I359" s="194" t="s">
        <v>2306</v>
      </c>
      <c r="J359" s="186" t="s">
        <v>2738</v>
      </c>
    </row>
    <row r="360" spans="1:10" ht="15" customHeight="1" x14ac:dyDescent="0.3">
      <c r="A360" s="65" t="s">
        <v>2270</v>
      </c>
      <c r="B360" t="s">
        <v>2301</v>
      </c>
      <c r="C360" s="58" t="s">
        <v>959</v>
      </c>
      <c r="D360" s="1">
        <v>5</v>
      </c>
      <c r="E360" s="1" t="s">
        <v>2088</v>
      </c>
      <c r="F360" s="1" t="s">
        <v>960</v>
      </c>
      <c r="G360" s="1" t="s">
        <v>522</v>
      </c>
      <c r="H360" s="1" t="s">
        <v>1814</v>
      </c>
      <c r="I360" s="194" t="s">
        <v>2302</v>
      </c>
      <c r="J360" s="186" t="s">
        <v>2731</v>
      </c>
    </row>
    <row r="361" spans="1:10" ht="15" customHeight="1" x14ac:dyDescent="0.3">
      <c r="A361" s="65" t="s">
        <v>2270</v>
      </c>
      <c r="B361" t="s">
        <v>2308</v>
      </c>
      <c r="C361" s="58" t="s">
        <v>12</v>
      </c>
      <c r="D361" s="1">
        <v>9</v>
      </c>
      <c r="E361" s="1" t="s">
        <v>2310</v>
      </c>
      <c r="F361" s="1" t="s">
        <v>1814</v>
      </c>
      <c r="G361" s="1" t="s">
        <v>522</v>
      </c>
      <c r="H361" s="1" t="s">
        <v>2739</v>
      </c>
      <c r="I361" s="194" t="s">
        <v>2309</v>
      </c>
      <c r="J361" s="186" t="s">
        <v>2740</v>
      </c>
    </row>
    <row r="362" spans="1:10" ht="15" customHeight="1" x14ac:dyDescent="0.3">
      <c r="A362" s="65" t="s">
        <v>2270</v>
      </c>
      <c r="B362" t="s">
        <v>2734</v>
      </c>
      <c r="C362" s="58" t="s">
        <v>959</v>
      </c>
      <c r="D362" s="1">
        <v>5</v>
      </c>
      <c r="E362" s="1" t="s">
        <v>2274</v>
      </c>
      <c r="F362" s="1" t="s">
        <v>2066</v>
      </c>
      <c r="G362" s="1" t="s">
        <v>522</v>
      </c>
      <c r="H362" s="1" t="s">
        <v>1731</v>
      </c>
      <c r="I362" s="194" t="s">
        <v>2303</v>
      </c>
      <c r="J362" s="186" t="s">
        <v>2735</v>
      </c>
    </row>
    <row r="363" spans="1:10" ht="15" customHeight="1" x14ac:dyDescent="0.3">
      <c r="A363" s="65" t="s">
        <v>2270</v>
      </c>
      <c r="B363" t="s">
        <v>2293</v>
      </c>
      <c r="C363" s="58" t="s">
        <v>11</v>
      </c>
      <c r="D363" s="1">
        <v>5</v>
      </c>
      <c r="E363" s="1" t="s">
        <v>1894</v>
      </c>
      <c r="F363" s="1" t="s">
        <v>2294</v>
      </c>
      <c r="G363" s="1" t="s">
        <v>522</v>
      </c>
      <c r="H363" s="1" t="s">
        <v>1838</v>
      </c>
      <c r="I363" s="194" t="s">
        <v>2296</v>
      </c>
      <c r="J363" s="186" t="s">
        <v>2599</v>
      </c>
    </row>
    <row r="364" spans="1:10" ht="15" customHeight="1" x14ac:dyDescent="0.3">
      <c r="A364" s="65" t="s">
        <v>2270</v>
      </c>
      <c r="B364" t="s">
        <v>2276</v>
      </c>
      <c r="C364" s="58" t="s">
        <v>11</v>
      </c>
      <c r="D364" s="1">
        <v>5</v>
      </c>
      <c r="E364" s="1" t="s">
        <v>2088</v>
      </c>
      <c r="F364" s="1" t="s">
        <v>1814</v>
      </c>
      <c r="G364" s="1" t="s">
        <v>522</v>
      </c>
      <c r="H364" s="1" t="s">
        <v>958</v>
      </c>
      <c r="I364" s="194" t="s">
        <v>2275</v>
      </c>
      <c r="J364" s="186" t="s">
        <v>2729</v>
      </c>
    </row>
    <row r="365" spans="1:10" ht="15" customHeight="1" x14ac:dyDescent="0.3">
      <c r="A365" s="65" t="s">
        <v>2270</v>
      </c>
      <c r="B365" t="s">
        <v>2280</v>
      </c>
      <c r="C365" s="58" t="s">
        <v>959</v>
      </c>
      <c r="D365" s="1">
        <v>5</v>
      </c>
      <c r="E365" s="1" t="s">
        <v>2274</v>
      </c>
      <c r="F365" s="1" t="s">
        <v>2063</v>
      </c>
      <c r="G365" s="1" t="s">
        <v>522</v>
      </c>
      <c r="H365" s="1" t="s">
        <v>1731</v>
      </c>
      <c r="I365" s="194" t="s">
        <v>2283</v>
      </c>
      <c r="J365" s="186" t="s">
        <v>2728</v>
      </c>
    </row>
    <row r="366" spans="1:10" ht="15" customHeight="1" x14ac:dyDescent="0.3">
      <c r="A366" s="65" t="s">
        <v>2270</v>
      </c>
      <c r="B366" t="s">
        <v>2297</v>
      </c>
      <c r="C366" s="58" t="s">
        <v>12</v>
      </c>
      <c r="D366" s="1">
        <v>7</v>
      </c>
      <c r="E366" s="1" t="s">
        <v>1822</v>
      </c>
      <c r="F366" s="1" t="s">
        <v>2070</v>
      </c>
      <c r="G366" s="1" t="s">
        <v>522</v>
      </c>
      <c r="H366" s="1" t="s">
        <v>1731</v>
      </c>
      <c r="I366" s="194" t="s">
        <v>2298</v>
      </c>
      <c r="J366" s="186" t="s">
        <v>2726</v>
      </c>
    </row>
    <row r="367" spans="1:10" ht="15" customHeight="1" x14ac:dyDescent="0.3">
      <c r="A367" s="65" t="s">
        <v>2270</v>
      </c>
      <c r="B367" t="s">
        <v>2311</v>
      </c>
      <c r="C367" s="58" t="s">
        <v>12</v>
      </c>
      <c r="D367" s="1">
        <v>9</v>
      </c>
      <c r="E367" s="1" t="s">
        <v>2312</v>
      </c>
      <c r="F367" s="1" t="s">
        <v>2070</v>
      </c>
      <c r="G367" s="1" t="s">
        <v>522</v>
      </c>
      <c r="H367" s="1" t="s">
        <v>958</v>
      </c>
      <c r="I367" s="194" t="s">
        <v>2313</v>
      </c>
      <c r="J367" s="186" t="s">
        <v>2741</v>
      </c>
    </row>
  </sheetData>
  <sortState xmlns:xlrd2="http://schemas.microsoft.com/office/spreadsheetml/2017/richdata2" ref="A250:I271">
    <sortCondition ref="A250:A271"/>
    <sortCondition ref="B250:B271"/>
  </sortState>
  <phoneticPr fontId="87" type="noConversion"/>
  <pageMargins left="0.7" right="0.7" top="0.75" bottom="0.75" header="0.3" footer="0.3"/>
  <pageSetup paperSize="9" orientation="portrait" r:id="rId1"/>
  <ignoredErrors>
    <ignoredError sqref="F65"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tabColor theme="3" tint="0.39997558519241921"/>
  </sheetPr>
  <dimension ref="A1:K335"/>
  <sheetViews>
    <sheetView workbookViewId="0">
      <pane ySplit="1" topLeftCell="A2" activePane="bottomLeft" state="frozen"/>
      <selection activeCell="C23" sqref="C23"/>
      <selection pane="bottomLeft" activeCell="G320" sqref="G320"/>
    </sheetView>
  </sheetViews>
  <sheetFormatPr baseColWidth="10" defaultColWidth="11.44140625" defaultRowHeight="14.4" x14ac:dyDescent="0.3"/>
  <cols>
    <col min="1" max="1" width="39.5546875" style="238" customWidth="1"/>
    <col min="2" max="2" width="24.77734375" style="240" hidden="1" customWidth="1"/>
    <col min="3" max="3" width="5" style="238" customWidth="1"/>
    <col min="4" max="5" width="3.6640625" style="238" customWidth="1"/>
    <col min="6" max="6" width="3.88671875" style="238" customWidth="1"/>
    <col min="7" max="7" width="25.44140625" style="243" customWidth="1"/>
    <col min="8" max="8" width="77.44140625" style="67" customWidth="1"/>
    <col min="9" max="9" width="72.6640625" style="67" customWidth="1"/>
    <col min="10" max="10" width="32.109375" style="238" customWidth="1"/>
    <col min="11" max="11" width="27.33203125" style="238" customWidth="1"/>
    <col min="12" max="16384" width="11.44140625" style="238"/>
  </cols>
  <sheetData>
    <row r="1" spans="1:11" x14ac:dyDescent="0.3">
      <c r="A1" s="238" t="s">
        <v>0</v>
      </c>
      <c r="B1" s="240" t="s">
        <v>0</v>
      </c>
      <c r="C1" s="238" t="s">
        <v>396</v>
      </c>
      <c r="D1" s="238" t="s">
        <v>3756</v>
      </c>
      <c r="F1" s="67" t="s">
        <v>214</v>
      </c>
      <c r="G1" s="243" t="s">
        <v>263</v>
      </c>
      <c r="H1" s="238" t="s">
        <v>3068</v>
      </c>
      <c r="I1" s="238" t="s">
        <v>3067</v>
      </c>
      <c r="J1" s="238" t="s">
        <v>3069</v>
      </c>
      <c r="K1" s="238" t="s">
        <v>3070</v>
      </c>
    </row>
    <row r="2" spans="1:11" ht="23.4" customHeight="1" x14ac:dyDescent="0.3">
      <c r="A2" s="238" t="s">
        <v>4991</v>
      </c>
      <c r="B2" s="240" t="str">
        <f>IF(AND(Syst.="Reloaded",Primes&lt;Atouts!E2),"",A2)</f>
        <v>Acclimaté au chaud</v>
      </c>
      <c r="C2" s="238" t="s">
        <v>3755</v>
      </c>
      <c r="D2" s="238" t="s">
        <v>3754</v>
      </c>
      <c r="E2" s="238">
        <f>VLOOKUP(D2,Tableaux!$BS:$BU,3,FALSE)</f>
        <v>0</v>
      </c>
      <c r="F2" s="238">
        <v>1</v>
      </c>
      <c r="G2" s="399" t="s">
        <v>3168</v>
      </c>
      <c r="H2" s="67" t="s">
        <v>4993</v>
      </c>
      <c r="I2" s="67" t="s">
        <v>4993</v>
      </c>
      <c r="J2" s="238" t="s">
        <v>4994</v>
      </c>
      <c r="K2" s="238" t="s">
        <v>3168</v>
      </c>
    </row>
    <row r="3" spans="1:11" ht="23.4" customHeight="1" x14ac:dyDescent="0.3">
      <c r="A3" s="238" t="s">
        <v>4992</v>
      </c>
      <c r="B3" s="240" t="str">
        <f>IF(AND(Syst.="Reloaded",Primes&lt;Atouts!E3),"",A3)</f>
        <v>Acclimaté au froid</v>
      </c>
      <c r="C3" s="238" t="s">
        <v>3755</v>
      </c>
      <c r="D3" s="238" t="s">
        <v>3754</v>
      </c>
      <c r="E3" s="238">
        <f>VLOOKUP(D3,Tableaux!$BS:$BU,3,FALSE)</f>
        <v>0</v>
      </c>
      <c r="F3" s="238">
        <v>2</v>
      </c>
      <c r="G3" s="399" t="s">
        <v>3168</v>
      </c>
      <c r="H3" s="67" t="s">
        <v>4995</v>
      </c>
      <c r="I3" s="67" t="s">
        <v>4995</v>
      </c>
      <c r="J3" s="238" t="s">
        <v>4994</v>
      </c>
      <c r="K3" s="238" t="s">
        <v>3168</v>
      </c>
    </row>
    <row r="4" spans="1:11" ht="23.4" customHeight="1" x14ac:dyDescent="0.3">
      <c r="A4" s="240" t="s">
        <v>1377</v>
      </c>
      <c r="B4" s="240" t="str">
        <f>IF(OR(OR(EthniePerso&lt;&gt;"Sudiste"),(AND(Syst.="Reloaded",Primes&lt;Atouts!E4))),"",A4)</f>
        <v/>
      </c>
      <c r="C4" s="238" t="s">
        <v>3755</v>
      </c>
      <c r="D4" s="238" t="s">
        <v>3752</v>
      </c>
      <c r="E4" s="238">
        <f>VLOOKUP(D4,Tableaux!$BS:$BU,3,FALSE)</f>
        <v>40</v>
      </c>
      <c r="F4" s="238">
        <v>4</v>
      </c>
      <c r="G4" s="243" t="s">
        <v>1004</v>
      </c>
      <c r="H4" s="67" t="s">
        <v>3464</v>
      </c>
      <c r="I4" s="68" t="s">
        <v>4427</v>
      </c>
      <c r="J4" s="238" t="s">
        <v>1003</v>
      </c>
      <c r="K4" s="238" t="s">
        <v>3168</v>
      </c>
    </row>
    <row r="5" spans="1:11" ht="23.4" customHeight="1" x14ac:dyDescent="0.3">
      <c r="A5" s="240" t="s">
        <v>1376</v>
      </c>
      <c r="B5" s="240" t="str">
        <f>IF(OR(OR(EthniePerso&lt;&gt;"Sudiste"),(AND(Syst.="Reloaded",Primes&lt;Atouts!E5))),"",A5)</f>
        <v/>
      </c>
      <c r="C5" s="238" t="s">
        <v>3755</v>
      </c>
      <c r="D5" s="238" t="s">
        <v>3751</v>
      </c>
      <c r="E5" s="238">
        <f>VLOOKUP(D5,Tableaux!$BS:$BU,3,FALSE)</f>
        <v>20</v>
      </c>
      <c r="F5" s="238">
        <v>3</v>
      </c>
      <c r="G5" s="243" t="s">
        <v>1004</v>
      </c>
      <c r="H5" s="67" t="s">
        <v>3463</v>
      </c>
      <c r="I5" s="68" t="s">
        <v>4427</v>
      </c>
      <c r="J5" s="238" t="s">
        <v>1003</v>
      </c>
      <c r="K5" s="238" t="s">
        <v>3168</v>
      </c>
    </row>
    <row r="6" spans="1:11" ht="24" customHeight="1" x14ac:dyDescent="0.3">
      <c r="A6" s="240" t="s">
        <v>1374</v>
      </c>
      <c r="B6" s="240" t="str">
        <f>IF(OR(OR(EthniePerso&lt;&gt;"Sudiste"),(AND(Syst.="Reloaded",Primes&lt;Atouts!E6))),"",A6)</f>
        <v/>
      </c>
      <c r="C6" s="238" t="s">
        <v>3755</v>
      </c>
      <c r="D6" s="238" t="s">
        <v>3754</v>
      </c>
      <c r="E6" s="238">
        <f>VLOOKUP(D6,Tableaux!$BS:$BU,3,FALSE)</f>
        <v>0</v>
      </c>
      <c r="F6" s="238">
        <v>1</v>
      </c>
      <c r="G6" s="243" t="s">
        <v>1004</v>
      </c>
      <c r="H6" s="67" t="s">
        <v>3462</v>
      </c>
      <c r="I6" s="68" t="s">
        <v>4427</v>
      </c>
      <c r="J6" s="238" t="s">
        <v>1003</v>
      </c>
      <c r="K6" s="238" t="s">
        <v>3168</v>
      </c>
    </row>
    <row r="7" spans="1:11" ht="33.75" customHeight="1" x14ac:dyDescent="0.3">
      <c r="A7" s="240" t="s">
        <v>1375</v>
      </c>
      <c r="B7" s="240" t="str">
        <f>IF(OR(OR(EthniePerso&lt;&gt;"Sudiste"),(AND(Syst.="Reloaded",Primes&lt;Atouts!E7))),"",A7)</f>
        <v/>
      </c>
      <c r="C7" s="238" t="s">
        <v>3755</v>
      </c>
      <c r="D7" s="238" t="s">
        <v>3754</v>
      </c>
      <c r="E7" s="238">
        <f>VLOOKUP(D7,Tableaux!$BS:$BU,3,FALSE)</f>
        <v>0</v>
      </c>
      <c r="F7" s="238">
        <v>2</v>
      </c>
      <c r="G7" s="243" t="s">
        <v>1004</v>
      </c>
      <c r="H7" s="67" t="s">
        <v>3461</v>
      </c>
      <c r="I7" s="68" t="s">
        <v>4427</v>
      </c>
      <c r="J7" s="238" t="s">
        <v>1003</v>
      </c>
      <c r="K7" s="238" t="s">
        <v>3168</v>
      </c>
    </row>
    <row r="8" spans="1:11" ht="24" customHeight="1" x14ac:dyDescent="0.3">
      <c r="A8" s="240" t="s">
        <v>1378</v>
      </c>
      <c r="B8" s="240" t="str">
        <f>IF(OR(OR(EthniePerso&lt;&gt;"Sudiste"),(AND(Syst.="Reloaded",Primes&lt;Atouts!E8))),"",A8)</f>
        <v/>
      </c>
      <c r="C8" s="238" t="s">
        <v>3755</v>
      </c>
      <c r="D8" s="238" t="s">
        <v>3753</v>
      </c>
      <c r="E8" s="238">
        <f>VLOOKUP(D8,Tableaux!$BS:$BU,3,FALSE)</f>
        <v>60</v>
      </c>
      <c r="F8" s="238">
        <v>5</v>
      </c>
      <c r="G8" s="243" t="s">
        <v>1004</v>
      </c>
      <c r="H8" s="67" t="s">
        <v>3465</v>
      </c>
      <c r="I8" s="68" t="s">
        <v>4427</v>
      </c>
      <c r="J8" s="238" t="s">
        <v>1003</v>
      </c>
      <c r="K8" s="238" t="s">
        <v>3168</v>
      </c>
    </row>
    <row r="9" spans="1:11" ht="24" customHeight="1" x14ac:dyDescent="0.3">
      <c r="A9" s="240" t="s">
        <v>1372</v>
      </c>
      <c r="B9" s="240" t="str">
        <f>IF(OR(OR(EthniePerso&lt;&gt;"Sudiste"),(AND(Syst.="Reloaded",Primes&lt;Atouts!E9))),"",A9)</f>
        <v/>
      </c>
      <c r="C9" s="238" t="s">
        <v>3749</v>
      </c>
      <c r="D9" s="238" t="s">
        <v>3753</v>
      </c>
      <c r="E9" s="238">
        <f>VLOOKUP(D9,Tableaux!$BS:$BU,3,FALSE)</f>
        <v>60</v>
      </c>
      <c r="F9" s="238">
        <v>4</v>
      </c>
      <c r="G9" s="243" t="s">
        <v>1004</v>
      </c>
      <c r="H9" s="67" t="s">
        <v>1018</v>
      </c>
      <c r="I9" s="67" t="s">
        <v>3800</v>
      </c>
      <c r="J9" s="238" t="s">
        <v>1003</v>
      </c>
      <c r="K9" s="242" t="s">
        <v>3582</v>
      </c>
    </row>
    <row r="10" spans="1:11" ht="24" customHeight="1" x14ac:dyDescent="0.3">
      <c r="A10" s="240" t="s">
        <v>1371</v>
      </c>
      <c r="B10" s="240" t="str">
        <f>IF(OR(OR(EthniePerso&lt;&gt;"Sudiste"),(AND(Syst.="Reloaded",Primes&lt;Atouts!E10))),"",A10)</f>
        <v/>
      </c>
      <c r="C10" s="238" t="s">
        <v>3749</v>
      </c>
      <c r="D10" s="238" t="s">
        <v>3752</v>
      </c>
      <c r="E10" s="238">
        <f>VLOOKUP(D10,Tableaux!$BS:$BU,3,FALSE)</f>
        <v>40</v>
      </c>
      <c r="F10" s="238">
        <v>3</v>
      </c>
      <c r="G10" s="243" t="s">
        <v>1004</v>
      </c>
      <c r="H10" s="67" t="s">
        <v>1018</v>
      </c>
      <c r="I10" s="67" t="s">
        <v>3799</v>
      </c>
      <c r="J10" s="238" t="s">
        <v>1003</v>
      </c>
      <c r="K10" s="242" t="s">
        <v>3582</v>
      </c>
    </row>
    <row r="11" spans="1:11" ht="24" customHeight="1" x14ac:dyDescent="0.3">
      <c r="A11" s="240" t="s">
        <v>1369</v>
      </c>
      <c r="B11" s="240" t="str">
        <f>IF(OR(OR(EthniePerso&lt;&gt;"Sudiste"),(AND(Syst.="Reloaded",Primes&lt;Atouts!E11))),"",A11)</f>
        <v/>
      </c>
      <c r="C11" s="238" t="s">
        <v>3749</v>
      </c>
      <c r="D11" s="238" t="s">
        <v>3754</v>
      </c>
      <c r="E11" s="238">
        <f>VLOOKUP(D11,Tableaux!$BS:$BU,3,FALSE)</f>
        <v>0</v>
      </c>
      <c r="F11" s="238">
        <v>1</v>
      </c>
      <c r="G11" s="243" t="s">
        <v>1004</v>
      </c>
      <c r="H11" s="67" t="s">
        <v>1018</v>
      </c>
      <c r="I11" s="67" t="s">
        <v>3797</v>
      </c>
      <c r="J11" s="238" t="s">
        <v>1003</v>
      </c>
      <c r="K11" s="242" t="s">
        <v>3582</v>
      </c>
    </row>
    <row r="12" spans="1:11" ht="24" customHeight="1" x14ac:dyDescent="0.3">
      <c r="A12" s="240" t="s">
        <v>1370</v>
      </c>
      <c r="B12" s="240" t="str">
        <f>IF(OR(OR(EthniePerso&lt;&gt;"Sudiste"),(AND(Syst.="Reloaded",Primes&lt;Atouts!E12))),"",A12)</f>
        <v/>
      </c>
      <c r="C12" s="238" t="s">
        <v>3749</v>
      </c>
      <c r="D12" s="238" t="s">
        <v>3751</v>
      </c>
      <c r="E12" s="238">
        <f>VLOOKUP(D12,Tableaux!$BS:$BU,3,FALSE)</f>
        <v>20</v>
      </c>
      <c r="F12" s="238">
        <v>2</v>
      </c>
      <c r="G12" s="243" t="s">
        <v>1004</v>
      </c>
      <c r="H12" s="67" t="s">
        <v>1018</v>
      </c>
      <c r="I12" s="67" t="s">
        <v>3798</v>
      </c>
      <c r="J12" s="238" t="s">
        <v>1003</v>
      </c>
      <c r="K12" s="242" t="s">
        <v>3582</v>
      </c>
    </row>
    <row r="13" spans="1:11" ht="24" customHeight="1" x14ac:dyDescent="0.3">
      <c r="A13" s="240" t="s">
        <v>1373</v>
      </c>
      <c r="B13" s="240" t="str">
        <f>IF(OR(OR(EthniePerso&lt;&gt;"Sudiste"),(AND(Syst.="Reloaded",Primes&lt;Atouts!E13))),"",A13)</f>
        <v/>
      </c>
      <c r="C13" s="238" t="s">
        <v>3749</v>
      </c>
      <c r="D13" s="238" t="s">
        <v>2913</v>
      </c>
      <c r="E13" s="238">
        <f>VLOOKUP(D13,Tableaux!$BS:$BU,3,FALSE)</f>
        <v>80</v>
      </c>
      <c r="F13" s="238">
        <v>5</v>
      </c>
      <c r="G13" s="243" t="s">
        <v>1004</v>
      </c>
      <c r="H13" s="67" t="s">
        <v>1018</v>
      </c>
      <c r="I13" s="67" t="s">
        <v>3801</v>
      </c>
      <c r="J13" s="238" t="s">
        <v>1003</v>
      </c>
      <c r="K13" s="242" t="s">
        <v>3582</v>
      </c>
    </row>
    <row r="14" spans="1:11" ht="24" customHeight="1" x14ac:dyDescent="0.3">
      <c r="A14" s="240" t="s">
        <v>3429</v>
      </c>
      <c r="B14" s="240" t="str">
        <f>IF(OR(OR(déAgilité&lt;8,déForce&lt;6),(AND(Syst.="Reloaded",Primes&lt;Atouts!E14))),"",A14)</f>
        <v/>
      </c>
      <c r="C14" s="238" t="s">
        <v>3749</v>
      </c>
      <c r="D14" s="238" t="s">
        <v>3754</v>
      </c>
      <c r="E14" s="238">
        <f>VLOOKUP(D14,Tableaux!$BS:$BU,3,FALSE)</f>
        <v>0</v>
      </c>
      <c r="F14" s="238">
        <f>IF(OR('Perso Classic'!C7="Balte/Russe",'Perso Reloaded'!C7="Balte/Russe"),1,2)</f>
        <v>2</v>
      </c>
      <c r="G14" s="243" t="s">
        <v>3430</v>
      </c>
      <c r="H14" s="68" t="s">
        <v>3432</v>
      </c>
      <c r="I14" s="68" t="s">
        <v>3431</v>
      </c>
      <c r="J14" s="242" t="s">
        <v>3168</v>
      </c>
      <c r="K14" s="238" t="s">
        <v>3433</v>
      </c>
    </row>
    <row r="15" spans="1:11" ht="24" customHeight="1" x14ac:dyDescent="0.3">
      <c r="A15" s="240" t="s">
        <v>3437</v>
      </c>
      <c r="B15" s="240" t="str">
        <f>IF(OR(AND(croyant=FALSE,Illumination=FALSE),(AND(Syst.="Reloaded",Primes&lt;Atouts!E15))),"",A15)</f>
        <v/>
      </c>
      <c r="C15" s="238" t="s">
        <v>3749</v>
      </c>
      <c r="D15" s="238" t="s">
        <v>3754</v>
      </c>
      <c r="E15" s="238">
        <f>VLOOKUP(D15,Tableaux!$BS:$BU,3,FALSE)</f>
        <v>0</v>
      </c>
      <c r="F15" s="238">
        <v>2</v>
      </c>
      <c r="G15" s="243" t="s">
        <v>5258</v>
      </c>
      <c r="H15" s="68" t="s">
        <v>3440</v>
      </c>
      <c r="I15" s="68" t="s">
        <v>3878</v>
      </c>
      <c r="J15" s="242" t="s">
        <v>3168</v>
      </c>
      <c r="K15" s="238" t="s">
        <v>3433</v>
      </c>
    </row>
    <row r="16" spans="1:11" ht="24" customHeight="1" x14ac:dyDescent="0.3">
      <c r="A16" s="240" t="s">
        <v>3350</v>
      </c>
      <c r="B16" s="240" t="str">
        <f>IF(OR(AND(sciencefolle=FALSE,croyant=FALSE,vaudou=FALSE,mds=FALSE,Illumination=FALSE),(AND(Syst.="Reloaded",Primes&lt;Atouts!E16))),"",A16)</f>
        <v/>
      </c>
      <c r="C16" s="238" t="s">
        <v>3746</v>
      </c>
      <c r="D16" s="238" t="s">
        <v>3751</v>
      </c>
      <c r="E16" s="238">
        <f>VLOOKUP(D16,Tableaux!$BS:$BU,3,FALSE)</f>
        <v>20</v>
      </c>
      <c r="F16" s="238">
        <v>3</v>
      </c>
      <c r="G16" s="243" t="s">
        <v>3356</v>
      </c>
      <c r="H16" s="67" t="s">
        <v>3352</v>
      </c>
      <c r="I16" s="67" t="s">
        <v>3351</v>
      </c>
      <c r="J16" s="242" t="s">
        <v>3168</v>
      </c>
      <c r="K16" s="238" t="s">
        <v>3353</v>
      </c>
    </row>
    <row r="17" spans="1:11" ht="24" customHeight="1" x14ac:dyDescent="0.3">
      <c r="A17" s="240" t="s">
        <v>1289</v>
      </c>
      <c r="B17" s="240" t="str">
        <f>IF(OR(OR(sciencefolle=FALSE),(AND(Syst.="Reloaded",Primes&lt;Atouts!E17))),"",A17)</f>
        <v/>
      </c>
      <c r="C17" s="238" t="s">
        <v>3748</v>
      </c>
      <c r="D17" s="238" t="s">
        <v>3754</v>
      </c>
      <c r="E17" s="238">
        <f>VLOOKUP(D17,Tableaux!$BS:$BU,3,FALSE)</f>
        <v>0</v>
      </c>
      <c r="F17" s="238">
        <v>2</v>
      </c>
      <c r="G17" s="243" t="s">
        <v>4435</v>
      </c>
      <c r="H17" s="67" t="s">
        <v>3513</v>
      </c>
      <c r="I17" s="67" t="s">
        <v>3512</v>
      </c>
      <c r="J17" s="242" t="s">
        <v>3168</v>
      </c>
      <c r="K17" s="238" t="s">
        <v>3514</v>
      </c>
    </row>
    <row r="18" spans="1:11" ht="24" customHeight="1" x14ac:dyDescent="0.3">
      <c r="A18" s="240" t="s">
        <v>264</v>
      </c>
      <c r="B18" s="240" t="str">
        <f>IF(OR(OR(déAgilité&lt;8),(AND(Syst.="Reloaded",Primes&lt;Atouts!E18))),"",A18)</f>
        <v/>
      </c>
      <c r="C18" s="238" t="s">
        <v>3755</v>
      </c>
      <c r="D18" s="238" t="s">
        <v>3754</v>
      </c>
      <c r="E18" s="238">
        <f>VLOOKUP(D18,Tableaux!$BS:$BU,3,FALSE)</f>
        <v>0</v>
      </c>
      <c r="F18" s="238">
        <v>3</v>
      </c>
      <c r="G18" s="243" t="s">
        <v>3157</v>
      </c>
      <c r="H18" s="67" t="s">
        <v>1020</v>
      </c>
      <c r="I18" s="67" t="s">
        <v>3158</v>
      </c>
      <c r="J18" s="238" t="s">
        <v>1005</v>
      </c>
      <c r="K18" s="238" t="s">
        <v>3159</v>
      </c>
    </row>
    <row r="19" spans="1:11" ht="24" customHeight="1" x14ac:dyDescent="0.3">
      <c r="A19" s="240" t="s">
        <v>3626</v>
      </c>
      <c r="B19" s="240" t="str">
        <f>IF(AND(Syst.="Reloaded",Primes&lt;Atouts!E19),"",A19)</f>
        <v>Amis Haut Placés/Contacts (Faible)</v>
      </c>
      <c r="C19" s="238" t="s">
        <v>3750</v>
      </c>
      <c r="D19" s="238" t="s">
        <v>3754</v>
      </c>
      <c r="E19" s="238">
        <f>VLOOKUP(D19,Tableaux!$BS:$BU,3,FALSE)</f>
        <v>0</v>
      </c>
      <c r="F19" s="238">
        <v>2</v>
      </c>
      <c r="G19" s="399" t="s">
        <v>3168</v>
      </c>
      <c r="H19" s="67" t="s">
        <v>1019</v>
      </c>
      <c r="I19" s="67" t="s">
        <v>3395</v>
      </c>
      <c r="J19" s="238" t="s">
        <v>1005</v>
      </c>
      <c r="K19" s="238" t="s">
        <v>3396</v>
      </c>
    </row>
    <row r="20" spans="1:11" ht="24" customHeight="1" x14ac:dyDescent="0.3">
      <c r="A20" s="240" t="s">
        <v>3627</v>
      </c>
      <c r="B20" s="240" t="str">
        <f>IF(AND(Syst.="Reloaded",Primes&lt;Atouts!E20),"",A20)</f>
        <v/>
      </c>
      <c r="C20" s="238" t="s">
        <v>3750</v>
      </c>
      <c r="D20" s="238" t="s">
        <v>3751</v>
      </c>
      <c r="E20" s="238">
        <f>VLOOKUP(D20,Tableaux!$BS:$BU,3,FALSE)</f>
        <v>20</v>
      </c>
      <c r="F20" s="238">
        <v>3</v>
      </c>
      <c r="G20" s="399" t="s">
        <v>3168</v>
      </c>
      <c r="H20" s="67" t="s">
        <v>1019</v>
      </c>
      <c r="I20" s="67" t="s">
        <v>3395</v>
      </c>
      <c r="J20" s="238" t="s">
        <v>1005</v>
      </c>
      <c r="K20" s="238" t="s">
        <v>3396</v>
      </c>
    </row>
    <row r="21" spans="1:11" ht="24" customHeight="1" x14ac:dyDescent="0.3">
      <c r="A21" s="240" t="s">
        <v>3628</v>
      </c>
      <c r="B21" s="240" t="str">
        <f>IF(AND(Syst.="Reloaded",Primes&lt;Atouts!E21),"",A21)</f>
        <v/>
      </c>
      <c r="C21" s="238" t="s">
        <v>3750</v>
      </c>
      <c r="D21" s="238" t="s">
        <v>3753</v>
      </c>
      <c r="E21" s="238">
        <f>VLOOKUP(D21,Tableaux!$BS:$BU,3,FALSE)</f>
        <v>60</v>
      </c>
      <c r="F21" s="238">
        <v>4</v>
      </c>
      <c r="G21" s="399" t="s">
        <v>3168</v>
      </c>
      <c r="H21" s="67" t="s">
        <v>1019</v>
      </c>
      <c r="I21" s="67" t="s">
        <v>3395</v>
      </c>
      <c r="J21" s="238" t="s">
        <v>1005</v>
      </c>
      <c r="K21" s="238" t="s">
        <v>3396</v>
      </c>
    </row>
    <row r="22" spans="1:11" ht="24" customHeight="1" x14ac:dyDescent="0.3">
      <c r="A22" s="240" t="s">
        <v>3629</v>
      </c>
      <c r="B22" s="240" t="str">
        <f>IF(AND(Syst.="Reloaded",Primes&lt;Atouts!E22),"",A22)</f>
        <v>Amis Haut Placés/Contacts (Très faible)</v>
      </c>
      <c r="C22" s="238" t="s">
        <v>3750</v>
      </c>
      <c r="D22" s="238" t="s">
        <v>3754</v>
      </c>
      <c r="E22" s="238">
        <f>VLOOKUP(D22,Tableaux!$BS:$BU,3,FALSE)</f>
        <v>0</v>
      </c>
      <c r="F22" s="238">
        <v>1</v>
      </c>
      <c r="G22" s="399" t="s">
        <v>3168</v>
      </c>
      <c r="H22" s="67" t="s">
        <v>1019</v>
      </c>
      <c r="I22" s="67" t="s">
        <v>3395</v>
      </c>
      <c r="J22" s="238" t="s">
        <v>1005</v>
      </c>
      <c r="K22" s="238" t="s">
        <v>3396</v>
      </c>
    </row>
    <row r="23" spans="1:11" ht="24" customHeight="1" x14ac:dyDescent="0.3">
      <c r="A23" s="240" t="s">
        <v>3630</v>
      </c>
      <c r="B23" s="240" t="str">
        <f>IF(AND(Syst.="Reloaded",Primes&lt;Atouts!E23),"",A23)</f>
        <v/>
      </c>
      <c r="C23" s="238" t="s">
        <v>3750</v>
      </c>
      <c r="D23" s="238" t="s">
        <v>2913</v>
      </c>
      <c r="E23" s="238">
        <f>VLOOKUP(D23,Tableaux!$BS:$BU,3,FALSE)</f>
        <v>80</v>
      </c>
      <c r="F23" s="238">
        <v>5</v>
      </c>
      <c r="G23" s="399" t="s">
        <v>3168</v>
      </c>
      <c r="H23" s="67" t="s">
        <v>1019</v>
      </c>
      <c r="I23" s="67" t="s">
        <v>3395</v>
      </c>
      <c r="J23" s="238" t="s">
        <v>1005</v>
      </c>
      <c r="K23" s="238" t="s">
        <v>3396</v>
      </c>
    </row>
    <row r="24" spans="1:11" ht="24" customHeight="1" x14ac:dyDescent="0.3">
      <c r="A24" s="240" t="s">
        <v>3556</v>
      </c>
      <c r="B24" s="240" t="str">
        <f>IF(OR(AND(Détérré=TRUE),(AND(Syst.="Reloaded",Primes&gt;Atouts!E24))),A24,"")</f>
        <v/>
      </c>
      <c r="C24" s="238" t="s">
        <v>3745</v>
      </c>
      <c r="D24" s="238" t="s">
        <v>3754</v>
      </c>
      <c r="E24" s="238">
        <f>VLOOKUP(D24,Tableaux!$BS:$BU,3,FALSE)</f>
        <v>0</v>
      </c>
      <c r="F24" s="238">
        <v>2</v>
      </c>
      <c r="G24" s="399" t="s">
        <v>3168</v>
      </c>
      <c r="H24" s="67" t="s">
        <v>3557</v>
      </c>
      <c r="I24" s="67" t="s">
        <v>5234</v>
      </c>
      <c r="J24" s="242" t="s">
        <v>3168</v>
      </c>
      <c r="K24" s="238" t="s">
        <v>4116</v>
      </c>
    </row>
    <row r="25" spans="1:11" ht="24" customHeight="1" x14ac:dyDescent="0.3">
      <c r="A25" s="240" t="s">
        <v>5145</v>
      </c>
      <c r="B25" s="240" t="str">
        <f>IF(OR(AND(Détérré=TRUE),(AND(Syst.="Reloaded",Primes&gt;Atouts!E25))),A25,"")</f>
        <v/>
      </c>
      <c r="C25" s="238" t="s">
        <v>3745</v>
      </c>
      <c r="D25" s="238" t="s">
        <v>3751</v>
      </c>
      <c r="E25" s="238">
        <f>VLOOKUP(D25,Tableaux!$BS:$BU,3,FALSE)</f>
        <v>20</v>
      </c>
      <c r="F25" s="238">
        <v>3</v>
      </c>
      <c r="G25" s="399" t="s">
        <v>307</v>
      </c>
      <c r="H25" s="67" t="s">
        <v>5148</v>
      </c>
      <c r="I25" s="67" t="s">
        <v>5146</v>
      </c>
      <c r="J25" s="242" t="s">
        <v>3168</v>
      </c>
      <c r="K25" s="238" t="s">
        <v>5147</v>
      </c>
    </row>
    <row r="26" spans="1:11" ht="24" customHeight="1" x14ac:dyDescent="0.3">
      <c r="A26" s="240" t="s">
        <v>2241</v>
      </c>
      <c r="B26" s="240" t="str">
        <f>IF(AND(Syst.="Reloaded",Primes&lt;Atouts!E26),"",A26)</f>
        <v>Arcane (anahuac)</v>
      </c>
      <c r="C26" s="238" t="s">
        <v>3755</v>
      </c>
      <c r="D26" s="238" t="s">
        <v>3754</v>
      </c>
      <c r="E26" s="238">
        <f>VLOOKUP(D26,Tableaux!$BS:$BU,3,FALSE)</f>
        <v>0</v>
      </c>
      <c r="F26" s="238">
        <v>3</v>
      </c>
      <c r="G26" s="399" t="s">
        <v>3168</v>
      </c>
      <c r="H26" s="67" t="s">
        <v>2242</v>
      </c>
      <c r="I26" s="67" t="s">
        <v>2242</v>
      </c>
      <c r="J26" s="238" t="s">
        <v>1007</v>
      </c>
      <c r="K26" s="238" t="s">
        <v>3159</v>
      </c>
    </row>
    <row r="27" spans="1:11" ht="24" customHeight="1" x14ac:dyDescent="0.3">
      <c r="A27" s="240" t="s">
        <v>2104</v>
      </c>
      <c r="B27" s="240" t="str">
        <f>IF(AND(Syst.="Reloaded",Primes&lt;Atouts!E27),"",A27)</f>
        <v>Arcane (aztèque)</v>
      </c>
      <c r="C27" s="238" t="s">
        <v>3755</v>
      </c>
      <c r="D27" s="238" t="s">
        <v>3754</v>
      </c>
      <c r="E27" s="238">
        <f>VLOOKUP(D27,Tableaux!$BS:$BU,3,FALSE)</f>
        <v>0</v>
      </c>
      <c r="F27" s="238">
        <v>3</v>
      </c>
      <c r="G27" s="399" t="s">
        <v>3168</v>
      </c>
      <c r="H27" s="67" t="s">
        <v>2105</v>
      </c>
      <c r="I27" s="67" t="s">
        <v>2105</v>
      </c>
      <c r="J27" s="238" t="s">
        <v>1045</v>
      </c>
      <c r="K27" s="238" t="s">
        <v>3159</v>
      </c>
    </row>
    <row r="28" spans="1:11" ht="24" customHeight="1" x14ac:dyDescent="0.3">
      <c r="A28" s="240" t="s">
        <v>1714</v>
      </c>
      <c r="B28" s="240" t="str">
        <f>IF(AND(Syst.="Reloaded",Primes&lt;Atouts!E28),"",A28)</f>
        <v>Arcane (chamane)</v>
      </c>
      <c r="C28" s="238" t="s">
        <v>3755</v>
      </c>
      <c r="D28" s="238" t="s">
        <v>3754</v>
      </c>
      <c r="E28" s="238">
        <f>VLOOKUP(D28,Tableaux!$BS:$BU,3,FALSE)</f>
        <v>0</v>
      </c>
      <c r="F28" s="238">
        <v>3</v>
      </c>
      <c r="G28" s="399" t="s">
        <v>3168</v>
      </c>
      <c r="H28" s="67" t="s">
        <v>1719</v>
      </c>
      <c r="I28" s="67" t="s">
        <v>1719</v>
      </c>
      <c r="J28" s="238" t="s">
        <v>1005</v>
      </c>
      <c r="K28" s="238" t="s">
        <v>3160</v>
      </c>
    </row>
    <row r="29" spans="1:11" ht="24" customHeight="1" x14ac:dyDescent="0.3">
      <c r="A29" s="240" t="s">
        <v>5253</v>
      </c>
      <c r="B29" s="240" t="str">
        <f>IF(OR(OR(déAme&lt;8),(AND(Syst.="Reloaded",Primes&lt;Atouts!E29))),"",A29)</f>
        <v/>
      </c>
      <c r="C29" s="238" t="s">
        <v>3755</v>
      </c>
      <c r="D29" s="238" t="s">
        <v>3754</v>
      </c>
      <c r="E29" s="238">
        <f>VLOOKUP(D29,Tableaux!$BS:$BU,3,FALSE)</f>
        <v>0</v>
      </c>
      <c r="F29" s="238">
        <v>3</v>
      </c>
      <c r="G29" s="399" t="s">
        <v>5271</v>
      </c>
      <c r="H29" s="67" t="s">
        <v>1715</v>
      </c>
      <c r="I29" s="67" t="s">
        <v>1715</v>
      </c>
      <c r="J29" s="238" t="s">
        <v>1005</v>
      </c>
      <c r="K29" s="238" t="s">
        <v>3159</v>
      </c>
    </row>
    <row r="30" spans="1:11" ht="24" customHeight="1" x14ac:dyDescent="0.3">
      <c r="A30" s="240" t="s">
        <v>3864</v>
      </c>
      <c r="B30" s="240" t="str">
        <f>IF(OR(AND(Arts_Martiaux=TRUE),(AND(Syst.="Reloaded",Primes&gt;Atouts!E30))),A30,"")</f>
        <v/>
      </c>
      <c r="C30" s="238" t="s">
        <v>3755</v>
      </c>
      <c r="D30" s="238" t="s">
        <v>3754</v>
      </c>
      <c r="E30" s="238">
        <f>VLOOKUP(D30,Tableaux!$BS:$BU,3,FALSE)</f>
        <v>0</v>
      </c>
      <c r="F30" s="238">
        <v>2</v>
      </c>
      <c r="G30" s="243" t="s">
        <v>119</v>
      </c>
      <c r="H30" s="67" t="s">
        <v>3439</v>
      </c>
      <c r="I30" s="67" t="s">
        <v>4274</v>
      </c>
      <c r="J30" s="238" t="s">
        <v>1053</v>
      </c>
      <c r="K30" s="238" t="s">
        <v>3160</v>
      </c>
    </row>
    <row r="31" spans="1:11" ht="24" customHeight="1" x14ac:dyDescent="0.3">
      <c r="A31" s="240" t="s">
        <v>5138</v>
      </c>
      <c r="B31" s="240" t="str">
        <f>IF(OR(OR(déIntellect&lt;6),(AND(Syst.="Reloaded",Primes&lt;Atouts!E31))),"",A31)</f>
        <v/>
      </c>
      <c r="C31" s="238" t="s">
        <v>3755</v>
      </c>
      <c r="D31" s="238" t="s">
        <v>3754</v>
      </c>
      <c r="E31" s="238">
        <f>VLOOKUP(D31,Tableaux!$BS:$BU,3,FALSE)</f>
        <v>0</v>
      </c>
      <c r="F31" s="238">
        <v>2</v>
      </c>
      <c r="G31" s="243" t="s">
        <v>5139</v>
      </c>
      <c r="H31" s="67" t="s">
        <v>5140</v>
      </c>
      <c r="I31" s="67" t="s">
        <v>5141</v>
      </c>
      <c r="J31" s="242" t="s">
        <v>3168</v>
      </c>
      <c r="K31" s="238" t="s">
        <v>5142</v>
      </c>
    </row>
    <row r="32" spans="1:11" ht="24" customHeight="1" x14ac:dyDescent="0.3">
      <c r="A32" s="240" t="s">
        <v>1711</v>
      </c>
      <c r="B32" s="240" t="str">
        <f>IF(OR(AND(Syst.="Reloaded",Primes&lt;Atouts!E32),Whateley=FALSE),"",A32)</f>
        <v/>
      </c>
      <c r="C32" s="238" t="s">
        <v>3755</v>
      </c>
      <c r="D32" s="238" t="s">
        <v>3754</v>
      </c>
      <c r="E32" s="238">
        <f>VLOOKUP(D32,Tableaux!$BS:$BU,3,FALSE)</f>
        <v>0</v>
      </c>
      <c r="F32" s="238">
        <v>0</v>
      </c>
      <c r="G32" s="399" t="s">
        <v>3168</v>
      </c>
      <c r="H32" s="67" t="s">
        <v>1718</v>
      </c>
      <c r="I32" s="67" t="s">
        <v>1718</v>
      </c>
      <c r="J32" s="238" t="s">
        <v>1005</v>
      </c>
      <c r="K32" s="238" t="s">
        <v>3159</v>
      </c>
    </row>
    <row r="33" spans="1:11" ht="24" customHeight="1" x14ac:dyDescent="0.3">
      <c r="A33" s="240" t="s">
        <v>1712</v>
      </c>
      <c r="B33" s="240" t="str">
        <f>IF(AND(Syst.="Reloaded",Primes&lt;Atouts!E33),"",A33)</f>
        <v>Arcane (occulte)</v>
      </c>
      <c r="C33" s="238" t="s">
        <v>3755</v>
      </c>
      <c r="D33" s="238" t="s">
        <v>3754</v>
      </c>
      <c r="E33" s="238">
        <f>VLOOKUP(D33,Tableaux!$BS:$BU,3,FALSE)</f>
        <v>0</v>
      </c>
      <c r="F33" s="238">
        <v>3</v>
      </c>
      <c r="G33" s="399" t="s">
        <v>3168</v>
      </c>
      <c r="H33" s="67" t="s">
        <v>1716</v>
      </c>
      <c r="I33" s="67" t="s">
        <v>1716</v>
      </c>
      <c r="J33" s="238" t="s">
        <v>1005</v>
      </c>
      <c r="K33" s="238" t="s">
        <v>3159</v>
      </c>
    </row>
    <row r="34" spans="1:11" ht="24" customHeight="1" x14ac:dyDescent="0.3">
      <c r="A34" s="240" t="s">
        <v>2776</v>
      </c>
      <c r="B34" s="240" t="str">
        <f>IF(AND(Syst.="Reloaded",Primes&lt;Atouts!E34),"",A34)</f>
        <v>Arcane (science folle)</v>
      </c>
      <c r="C34" s="238" t="s">
        <v>3755</v>
      </c>
      <c r="D34" s="238" t="s">
        <v>3754</v>
      </c>
      <c r="E34" s="238">
        <f>VLOOKUP(D34,Tableaux!$BS:$BU,3,FALSE)</f>
        <v>0</v>
      </c>
      <c r="F34" s="238">
        <v>3</v>
      </c>
      <c r="G34" s="399" t="s">
        <v>3168</v>
      </c>
      <c r="H34" s="67" t="s">
        <v>2964</v>
      </c>
      <c r="I34" s="67" t="s">
        <v>2964</v>
      </c>
      <c r="J34" s="238" t="s">
        <v>1005</v>
      </c>
      <c r="K34" s="238" t="s">
        <v>3160</v>
      </c>
    </row>
    <row r="35" spans="1:11" ht="24" customHeight="1" x14ac:dyDescent="0.3">
      <c r="A35" s="240" t="s">
        <v>5133</v>
      </c>
      <c r="B35" s="240" t="str">
        <f>IF(AND(Syst.="Reloaded",Primes&lt;Atouts!E35),"",A35)</f>
        <v>Arcane (sortillero)</v>
      </c>
      <c r="C35" s="238" t="s">
        <v>3755</v>
      </c>
      <c r="D35" s="238" t="s">
        <v>3754</v>
      </c>
      <c r="E35" s="238">
        <f>VLOOKUP(D35,Tableaux!$BS:$BU,3,FALSE)</f>
        <v>0</v>
      </c>
      <c r="F35" s="238">
        <v>3</v>
      </c>
      <c r="G35" s="399" t="s">
        <v>5137</v>
      </c>
      <c r="H35" s="67" t="s">
        <v>5134</v>
      </c>
      <c r="I35" s="67" t="s">
        <v>5135</v>
      </c>
      <c r="J35" s="242" t="s">
        <v>3168</v>
      </c>
      <c r="K35" s="238" t="s">
        <v>5136</v>
      </c>
    </row>
    <row r="36" spans="1:11" ht="24" customHeight="1" x14ac:dyDescent="0.3">
      <c r="A36" s="240" t="s">
        <v>1713</v>
      </c>
      <c r="B36" s="240" t="str">
        <f>IF(AND(Syst.="Reloaded",Primes&lt;Atouts!E36),"",A36)</f>
        <v>Arcane (vaudou)</v>
      </c>
      <c r="C36" s="238" t="s">
        <v>3755</v>
      </c>
      <c r="D36" s="238" t="s">
        <v>3754</v>
      </c>
      <c r="E36" s="238">
        <f>VLOOKUP(D36,Tableaux!$BS:$BU,3,FALSE)</f>
        <v>0</v>
      </c>
      <c r="F36" s="238">
        <v>3</v>
      </c>
      <c r="G36" s="399" t="s">
        <v>3168</v>
      </c>
      <c r="H36" s="67" t="s">
        <v>1717</v>
      </c>
      <c r="I36" s="67" t="s">
        <v>1717</v>
      </c>
      <c r="J36" s="238" t="s">
        <v>1005</v>
      </c>
      <c r="K36" s="238" t="s">
        <v>3159</v>
      </c>
    </row>
    <row r="37" spans="1:11" ht="24" customHeight="1" x14ac:dyDescent="0.3">
      <c r="A37" s="240" t="s">
        <v>3209</v>
      </c>
      <c r="B37" s="240" t="str">
        <f>IF(AND(Syst.="Reloaded",Primes&lt;Atouts!E37),"",A37)</f>
        <v>Arme Fétiche</v>
      </c>
      <c r="C37" s="238" t="s">
        <v>3743</v>
      </c>
      <c r="D37" s="238" t="s">
        <v>3754</v>
      </c>
      <c r="E37" s="238">
        <f>VLOOKUP(D37,Tableaux!$BS:$BU,3,FALSE)</f>
        <v>0</v>
      </c>
      <c r="F37" s="238">
        <v>2</v>
      </c>
      <c r="G37" s="243" t="s">
        <v>3211</v>
      </c>
      <c r="H37" s="68" t="s">
        <v>3212</v>
      </c>
      <c r="I37" s="68" t="s">
        <v>4428</v>
      </c>
      <c r="J37" s="242" t="s">
        <v>3168</v>
      </c>
      <c r="K37" s="238" t="s">
        <v>3208</v>
      </c>
    </row>
    <row r="38" spans="1:11" ht="24" customHeight="1" x14ac:dyDescent="0.3">
      <c r="A38" s="240" t="s">
        <v>3210</v>
      </c>
      <c r="B38" s="240" t="str">
        <f>IF(OR(OR(ArmeFétiche=FALSE),(AND(Syst.="Reloaded",Primes&lt;Atouts!E38))),"",A38)</f>
        <v/>
      </c>
      <c r="C38" s="238" t="s">
        <v>3743</v>
      </c>
      <c r="D38" s="238" t="s">
        <v>3752</v>
      </c>
      <c r="E38" s="238">
        <f>VLOOKUP(D38,Tableaux!$BS:$BU,3,FALSE)</f>
        <v>40</v>
      </c>
      <c r="F38" s="238">
        <v>4</v>
      </c>
      <c r="G38" s="243" t="s">
        <v>3209</v>
      </c>
      <c r="H38" s="68" t="s">
        <v>3213</v>
      </c>
      <c r="I38" s="68" t="s">
        <v>4428</v>
      </c>
      <c r="J38" s="242" t="s">
        <v>3168</v>
      </c>
      <c r="K38" s="238" t="s">
        <v>3208</v>
      </c>
    </row>
    <row r="39" spans="1:11" ht="24" customHeight="1" x14ac:dyDescent="0.3">
      <c r="A39" s="240" t="str">
        <f>IF(SexePerso="Féminin","Armurière",IF('Perso Reloaded'!$C$6="Féminin","Armurière","Armurier"))</f>
        <v>Armurier</v>
      </c>
      <c r="B39" s="240" t="str">
        <f>IF(OR(OR(déIntellect&lt;8),(AND(Syst.="Reloaded",Primes&lt;Atouts!E39))),"",A39)</f>
        <v/>
      </c>
      <c r="C39" s="238" t="s">
        <v>3749</v>
      </c>
      <c r="D39" s="238" t="s">
        <v>3754</v>
      </c>
      <c r="E39" s="238">
        <f>VLOOKUP(D39,Tableaux!$BS:$BU,3,FALSE)</f>
        <v>0</v>
      </c>
      <c r="F39" s="238">
        <v>2</v>
      </c>
      <c r="G39" s="243" t="s">
        <v>4430</v>
      </c>
      <c r="H39" s="68" t="s">
        <v>4439</v>
      </c>
      <c r="I39" s="68" t="s">
        <v>4439</v>
      </c>
      <c r="J39" s="242" t="s">
        <v>3168</v>
      </c>
      <c r="K39" s="238" t="s">
        <v>4431</v>
      </c>
    </row>
    <row r="40" spans="1:11" ht="24" customHeight="1" x14ac:dyDescent="0.3">
      <c r="A40" s="240" t="s">
        <v>119</v>
      </c>
      <c r="B40" s="240" t="str">
        <f>IF(AND(Syst.="Reloaded",Primes&lt;Atouts!E40),"",A40)</f>
        <v>Arts Martiaux</v>
      </c>
      <c r="C40" s="238" t="s">
        <v>3743</v>
      </c>
      <c r="D40" s="238" t="s">
        <v>3754</v>
      </c>
      <c r="E40" s="238">
        <f>VLOOKUP(D40,Tableaux!$BS:$BU,3,FALSE)</f>
        <v>0</v>
      </c>
      <c r="F40" s="238">
        <v>3</v>
      </c>
      <c r="G40" s="243" t="s">
        <v>3215</v>
      </c>
      <c r="H40" s="67" t="s">
        <v>1496</v>
      </c>
      <c r="I40" s="67" t="s">
        <v>3217</v>
      </c>
      <c r="J40" s="238" t="s">
        <v>1006</v>
      </c>
      <c r="K40" s="238" t="s">
        <v>3208</v>
      </c>
    </row>
    <row r="41" spans="1:11" ht="24" customHeight="1" x14ac:dyDescent="0.3">
      <c r="A41" s="240" t="s">
        <v>3214</v>
      </c>
      <c r="B41" s="240" t="str">
        <f>IF(OR(OR(Arts_Martiaux=FALSE),(AND(Syst.="Reloaded",Primes&lt;Atouts!E41))),"",A41)</f>
        <v/>
      </c>
      <c r="C41" s="238" t="s">
        <v>3743</v>
      </c>
      <c r="D41" s="238" t="s">
        <v>3752</v>
      </c>
      <c r="E41" s="238">
        <f>VLOOKUP(D41,Tableaux!$BS:$BU,3,FALSE)</f>
        <v>40</v>
      </c>
      <c r="F41" s="238">
        <v>5</v>
      </c>
      <c r="G41" s="243" t="s">
        <v>3216</v>
      </c>
      <c r="H41" s="67" t="s">
        <v>3219</v>
      </c>
      <c r="I41" s="67" t="s">
        <v>3218</v>
      </c>
      <c r="J41" s="242" t="s">
        <v>3168</v>
      </c>
      <c r="K41" s="238" t="s">
        <v>3208</v>
      </c>
    </row>
    <row r="42" spans="1:11" ht="24" customHeight="1" x14ac:dyDescent="0.3">
      <c r="A42" s="240" t="s">
        <v>4730</v>
      </c>
      <c r="B42" s="240" t="str">
        <f>IF(OR(OR(AMS=FALSE),(AND(Syst.="Reloaded",Primes&lt;Atouts!E42))),"",A42)</f>
        <v/>
      </c>
      <c r="C42" s="238" t="s">
        <v>3743</v>
      </c>
      <c r="D42" s="238" t="s">
        <v>2913</v>
      </c>
      <c r="E42" s="238">
        <f>VLOOKUP(D42,Tableaux!$BS:$BU,3,FALSE)</f>
        <v>80</v>
      </c>
      <c r="F42" s="238">
        <v>5</v>
      </c>
      <c r="G42" s="243" t="s">
        <v>4731</v>
      </c>
      <c r="H42" s="67" t="s">
        <v>4732</v>
      </c>
      <c r="I42" s="67" t="s">
        <v>4732</v>
      </c>
      <c r="J42" s="242" t="s">
        <v>3168</v>
      </c>
      <c r="K42" s="238" t="s">
        <v>4696</v>
      </c>
    </row>
    <row r="43" spans="1:11" ht="24" customHeight="1" x14ac:dyDescent="0.3">
      <c r="A43" s="240" t="s">
        <v>4715</v>
      </c>
      <c r="B43" s="240" t="str">
        <f>IF(OR(OR(AMS=FALSE),(AND(Syst.="Reloaded",Primes&lt;Atouts!E43))),"",A43)</f>
        <v/>
      </c>
      <c r="C43" s="238" t="s">
        <v>3743</v>
      </c>
      <c r="D43" s="238" t="s">
        <v>3752</v>
      </c>
      <c r="E43" s="238">
        <f>VLOOKUP(D43,Tableaux!$BS:$BU,3,FALSE)</f>
        <v>40</v>
      </c>
      <c r="F43" s="238">
        <v>5</v>
      </c>
      <c r="G43" s="243" t="s">
        <v>3216</v>
      </c>
      <c r="H43" s="67" t="s">
        <v>4716</v>
      </c>
      <c r="I43" s="67" t="s">
        <v>4716</v>
      </c>
      <c r="J43" s="242" t="s">
        <v>3168</v>
      </c>
      <c r="K43" s="238" t="s">
        <v>4694</v>
      </c>
    </row>
    <row r="44" spans="1:11" ht="24" customHeight="1" x14ac:dyDescent="0.3">
      <c r="A44" s="240" t="s">
        <v>953</v>
      </c>
      <c r="B44" s="240" t="str">
        <f>IF(OR(OR(déAgilité&lt;8),(AND(Syst.="Reloaded",Primes&lt;Atouts!E44))),"",A44)</f>
        <v/>
      </c>
      <c r="C44" s="238" t="s">
        <v>3749</v>
      </c>
      <c r="D44" s="238" t="s">
        <v>3754</v>
      </c>
      <c r="E44" s="238">
        <f>VLOOKUP(D44,Tableaux!$BS:$BU,3,FALSE)</f>
        <v>0</v>
      </c>
      <c r="F44" s="238">
        <v>2</v>
      </c>
      <c r="G44" s="243" t="s">
        <v>3157</v>
      </c>
      <c r="H44" s="68" t="s">
        <v>3441</v>
      </c>
      <c r="I44" s="68" t="s">
        <v>3802</v>
      </c>
      <c r="J44" s="242" t="s">
        <v>3168</v>
      </c>
      <c r="K44" s="238" t="s">
        <v>3438</v>
      </c>
    </row>
    <row r="45" spans="1:11" ht="24" customHeight="1" x14ac:dyDescent="0.3">
      <c r="A45" s="240" t="s">
        <v>3442</v>
      </c>
      <c r="B45" s="240" t="str">
        <f>IF(OR(OR(déAgilité&lt;8),(AND(Syst.="Reloaded",Primes&lt;Atouts!E45))),"",A45)</f>
        <v/>
      </c>
      <c r="C45" s="238" t="s">
        <v>3749</v>
      </c>
      <c r="D45" s="238" t="s">
        <v>3754</v>
      </c>
      <c r="E45" s="238">
        <f>VLOOKUP(D45,Tableaux!$BS:$BU,3,FALSE)</f>
        <v>0</v>
      </c>
      <c r="F45" s="238">
        <v>2</v>
      </c>
      <c r="G45" s="243" t="s">
        <v>3443</v>
      </c>
      <c r="H45" s="68" t="s">
        <v>3445</v>
      </c>
      <c r="I45" s="68" t="s">
        <v>3444</v>
      </c>
      <c r="J45" s="242" t="s">
        <v>3168</v>
      </c>
      <c r="K45" s="238" t="s">
        <v>3438</v>
      </c>
    </row>
    <row r="46" spans="1:11" ht="24" customHeight="1" x14ac:dyDescent="0.3">
      <c r="A46" s="240" t="str">
        <f>IF(SexePerso="Féminin","Aux Aguets/Vigilante",IF('Perso Reloaded'!$C$6="Féminin","Aux Aguets/Vigilante","Aux Aguets/Vigilant"))</f>
        <v>Aux Aguets/Vigilant</v>
      </c>
      <c r="B46" s="240" t="str">
        <f>IF(AND(Syst.="Reloaded",Primes&lt;Atouts!E46),"",A46)</f>
        <v>Aux Aguets/Vigilant</v>
      </c>
      <c r="C46" s="238" t="s">
        <v>3755</v>
      </c>
      <c r="D46" s="238" t="s">
        <v>3754</v>
      </c>
      <c r="E46" s="238">
        <f>VLOOKUP(D46,Tableaux!$BS:$BU,3,FALSE)</f>
        <v>0</v>
      </c>
      <c r="F46" s="238">
        <v>3</v>
      </c>
      <c r="G46" s="399" t="s">
        <v>3168</v>
      </c>
      <c r="H46" s="68" t="s">
        <v>1415</v>
      </c>
      <c r="I46" s="68" t="s">
        <v>4275</v>
      </c>
      <c r="J46" s="238" t="s">
        <v>1005</v>
      </c>
      <c r="K46" s="238" t="s">
        <v>3208</v>
      </c>
    </row>
    <row r="47" spans="1:11" ht="24" customHeight="1" x14ac:dyDescent="0.3">
      <c r="A47" s="240" t="str">
        <f>IF(SexePerso="Féminin","Bagarreuse",IF('Perso Reloaded'!$C$6="Féminin","Bagarreuse","Bagarreur"))</f>
        <v>Bagarreur</v>
      </c>
      <c r="B47" s="240" t="str">
        <f>IF(OR(OR(déForce&lt;8),(AND(Syst.="Reloaded",Primes&lt;Atouts!E47))),"",A47)</f>
        <v/>
      </c>
      <c r="C47" s="238" t="s">
        <v>3743</v>
      </c>
      <c r="D47" s="238" t="s">
        <v>3754</v>
      </c>
      <c r="E47" s="238">
        <f>VLOOKUP(D47,Tableaux!$BS:$BU,3,FALSE)</f>
        <v>0</v>
      </c>
      <c r="F47" s="238">
        <v>2</v>
      </c>
      <c r="G47" s="243" t="s">
        <v>3221</v>
      </c>
      <c r="H47" s="67" t="s">
        <v>3466</v>
      </c>
      <c r="I47" s="67" t="s">
        <v>3222</v>
      </c>
      <c r="J47" s="242" t="s">
        <v>3168</v>
      </c>
      <c r="K47" s="238" t="s">
        <v>3208</v>
      </c>
    </row>
    <row r="48" spans="1:11" ht="24" customHeight="1" x14ac:dyDescent="0.3">
      <c r="A48" s="240" t="str">
        <f>IF(SexePerso="Féminin","Bagarreuse  (Cogneuse)",IF('Perso Reloaded'!$C$6="Féminin","Bagarreuse (Cogneuse)","Bagarreur (Cogneur)"))</f>
        <v>Bagarreur (Cogneur)</v>
      </c>
      <c r="B48" s="240" t="str">
        <f>IF(OR(OR(Bagarreur=FALSE),(AND(Syst.="Reloaded",Primes&lt;Atouts!E48))),"",A48)</f>
        <v/>
      </c>
      <c r="C48" s="238" t="s">
        <v>3743</v>
      </c>
      <c r="D48" s="238" t="s">
        <v>3751</v>
      </c>
      <c r="E48" s="238">
        <f>VLOOKUP(D48,Tableaux!$BS:$BU,3,FALSE)</f>
        <v>20</v>
      </c>
      <c r="F48" s="238">
        <v>3</v>
      </c>
      <c r="G48" s="243" t="s">
        <v>3220</v>
      </c>
      <c r="H48" s="67" t="s">
        <v>3230</v>
      </c>
      <c r="I48" s="67" t="s">
        <v>3223</v>
      </c>
      <c r="J48" s="242" t="s">
        <v>3168</v>
      </c>
      <c r="K48" s="238" t="s">
        <v>3208</v>
      </c>
    </row>
    <row r="49" spans="1:11" ht="24" customHeight="1" x14ac:dyDescent="0.3">
      <c r="A49" s="240" t="s">
        <v>3224</v>
      </c>
      <c r="B49" s="240" t="str">
        <f>IF(OR(OR(déForce&lt;8),(AND(Syst.="Reloaded",Primes&lt;Atouts!E46))),"",A49)</f>
        <v/>
      </c>
      <c r="C49" s="238" t="s">
        <v>3743</v>
      </c>
      <c r="D49" s="238" t="s">
        <v>3754</v>
      </c>
      <c r="E49" s="238">
        <f>VLOOKUP(D49,Tableaux!$BS:$BU,3,FALSE)</f>
        <v>0</v>
      </c>
      <c r="F49" s="238">
        <v>2</v>
      </c>
      <c r="G49" s="243" t="s">
        <v>3226</v>
      </c>
      <c r="H49" s="67" t="s">
        <v>3227</v>
      </c>
      <c r="I49" s="67" t="s">
        <v>3227</v>
      </c>
      <c r="J49" s="242" t="s">
        <v>3168</v>
      </c>
      <c r="K49" s="238" t="s">
        <v>3229</v>
      </c>
    </row>
    <row r="50" spans="1:11" ht="24" customHeight="1" x14ac:dyDescent="0.3">
      <c r="A50" s="240" t="s">
        <v>3225</v>
      </c>
      <c r="B50" s="240" t="str">
        <f>IF(OR(OR(balayage=FALSE),(AND(Syst.="Reloaded",Primes&lt;Atouts!E50))),"",A50)</f>
        <v/>
      </c>
      <c r="C50" s="238" t="s">
        <v>3743</v>
      </c>
      <c r="D50" s="238" t="s">
        <v>3752</v>
      </c>
      <c r="E50" s="238">
        <f>VLOOKUP(D50,Tableaux!$BS:$BU,3,FALSE)</f>
        <v>40</v>
      </c>
      <c r="F50" s="238">
        <v>4</v>
      </c>
      <c r="G50" s="243" t="s">
        <v>3224</v>
      </c>
      <c r="H50" s="67" t="s">
        <v>3228</v>
      </c>
      <c r="I50" s="67" t="s">
        <v>3228</v>
      </c>
      <c r="J50" s="242" t="s">
        <v>3168</v>
      </c>
      <c r="K50" s="238" t="s">
        <v>3229</v>
      </c>
    </row>
    <row r="51" spans="1:11" ht="33" customHeight="1" x14ac:dyDescent="0.3">
      <c r="A51" s="240" t="str">
        <f>IF(SexePerso="Féminin","Baraquée/Costaude",IF('Perso Reloaded'!$C$6="Féminin","Baraquée/Costaude","Baraqué/Costaud"))</f>
        <v>Baraqué/Costaud</v>
      </c>
      <c r="B51" s="240" t="str">
        <f>IF(OR(OR(déVigueur&lt;6,déForce&lt;6),(AND(Syst.="Reloaded",Primes&lt;Atouts!E51))),"",A51)</f>
        <v/>
      </c>
      <c r="C51" s="238" t="s">
        <v>3755</v>
      </c>
      <c r="D51" s="238" t="s">
        <v>3754</v>
      </c>
      <c r="E51" s="238">
        <f>VLOOKUP(D51,Tableaux!$BS:$BU,3,FALSE)</f>
        <v>0</v>
      </c>
      <c r="F51" s="238">
        <v>3</v>
      </c>
      <c r="G51" s="243" t="s">
        <v>3165</v>
      </c>
      <c r="H51" s="68" t="s">
        <v>1497</v>
      </c>
      <c r="I51" s="68" t="s">
        <v>3166</v>
      </c>
      <c r="J51" s="238" t="s">
        <v>1090</v>
      </c>
      <c r="K51" s="238" t="s">
        <v>3160</v>
      </c>
    </row>
    <row r="52" spans="1:11" ht="33" customHeight="1" x14ac:dyDescent="0.3">
      <c r="A52" s="240" t="s">
        <v>5149</v>
      </c>
      <c r="B52" s="240" t="str">
        <f>IF(OR(AND(Détérré=TRUE),(AND(Syst.="Reloaded",Primes&gt;Atouts!E52))),A52,"")</f>
        <v/>
      </c>
      <c r="C52" s="238" t="s">
        <v>3745</v>
      </c>
      <c r="D52" s="238" t="s">
        <v>3752</v>
      </c>
      <c r="E52" s="238">
        <f>VLOOKUP(D52,Tableaux!$BS:$BU,3,FALSE)</f>
        <v>40</v>
      </c>
      <c r="F52" s="238">
        <v>4</v>
      </c>
      <c r="G52" s="243" t="s">
        <v>307</v>
      </c>
      <c r="H52" s="67" t="s">
        <v>5216</v>
      </c>
      <c r="I52" s="68" t="s">
        <v>5151</v>
      </c>
      <c r="J52" s="242" t="s">
        <v>3168</v>
      </c>
      <c r="K52" s="238" t="s">
        <v>5152</v>
      </c>
    </row>
    <row r="53" spans="1:11" ht="33" customHeight="1" x14ac:dyDescent="0.3">
      <c r="A53" s="240" t="str">
        <f>IF(SexePerso="Féminin","Belle Gueule/Séduisante",IF('Perso Reloaded'!$C$6="Féminin","Belle Gueule/Séduisante","Belle Gueule/Séduisant"))</f>
        <v>Belle Gueule/Séduisant</v>
      </c>
      <c r="B53" s="240" t="str">
        <f>IF(OR(OR(déVigueur&lt;6),(AND(Syst.="Reloaded",Primes&lt;Atouts!E53))),"",A53)</f>
        <v/>
      </c>
      <c r="C53" s="238" t="s">
        <v>3755</v>
      </c>
      <c r="D53" s="238" t="s">
        <v>3754</v>
      </c>
      <c r="E53" s="238">
        <f>VLOOKUP(D53,Tableaux!$BS:$BU,3,FALSE)</f>
        <v>0</v>
      </c>
      <c r="F53" s="238">
        <v>1</v>
      </c>
      <c r="G53" s="243" t="s">
        <v>3193</v>
      </c>
      <c r="H53" s="68" t="s">
        <v>1021</v>
      </c>
      <c r="I53" s="68" t="s">
        <v>3195</v>
      </c>
      <c r="J53" s="238" t="s">
        <v>1005</v>
      </c>
      <c r="K53" s="238" t="s">
        <v>3173</v>
      </c>
    </row>
    <row r="54" spans="1:11" ht="33" customHeight="1" x14ac:dyDescent="0.3">
      <c r="A54" s="240" t="str">
        <f>IF(SexePerso="Féminin","Belle Gueule/Séduisante à couper le souffle",IF('Perso Reloaded'!$C$6="Féminin","Belle Gueule/Séduisante à couper le souffle","Belle Gueule/Séduisant à couper le souffle"))</f>
        <v>Belle Gueule/Séduisant à couper le souffle</v>
      </c>
      <c r="B54" s="240" t="str">
        <f>IF(OR(OR(Belle=FALSE),(AND(Syst.="Reloaded",Primes&lt;Atouts!E54))),"",A54)</f>
        <v/>
      </c>
      <c r="C54" s="238" t="s">
        <v>3755</v>
      </c>
      <c r="D54" s="238" t="s">
        <v>3754</v>
      </c>
      <c r="E54" s="238">
        <f>VLOOKUP(D54,Tableaux!$BS:$BU,3,FALSE)</f>
        <v>0</v>
      </c>
      <c r="F54" s="238">
        <v>3</v>
      </c>
      <c r="G54" s="243" t="s">
        <v>3192</v>
      </c>
      <c r="H54" s="68" t="s">
        <v>3194</v>
      </c>
      <c r="I54" s="68" t="s">
        <v>4276</v>
      </c>
      <c r="J54" s="238" t="s">
        <v>1005</v>
      </c>
      <c r="K54" s="238" t="s">
        <v>3173</v>
      </c>
    </row>
    <row r="55" spans="1:11" ht="24" customHeight="1" x14ac:dyDescent="0.3">
      <c r="A55" s="240" t="str">
        <f>IF(SexePerso="Féminin","Bricoleuse de Génie",IF('Perso Reloaded'!$C$6="Féminin","Bricoleuse de Génie","Bricoleur de Génie"))</f>
        <v>Bricoleur de Génie</v>
      </c>
      <c r="B55" s="240" t="str">
        <f>IF(OR(OR(sciencefolle=FALSE),(AND(Syst.="Reloaded",Primes&lt;Atouts!E55))),"",A55)</f>
        <v/>
      </c>
      <c r="C55" s="238" t="s">
        <v>3749</v>
      </c>
      <c r="D55" s="238" t="s">
        <v>3754</v>
      </c>
      <c r="E55" s="238">
        <f>VLOOKUP(D55,Tableaux!$BS:$BU,3,FALSE)</f>
        <v>0</v>
      </c>
      <c r="F55" s="238">
        <v>2</v>
      </c>
      <c r="G55" s="243" t="s">
        <v>3501</v>
      </c>
      <c r="H55" s="68" t="s">
        <v>3447</v>
      </c>
      <c r="I55" s="68" t="s">
        <v>3803</v>
      </c>
      <c r="J55" s="242" t="s">
        <v>3168</v>
      </c>
      <c r="K55" s="238" t="s">
        <v>3438</v>
      </c>
    </row>
    <row r="56" spans="1:11" ht="24" customHeight="1" x14ac:dyDescent="0.3">
      <c r="A56" s="240" t="str">
        <f>IF(SexePerso="Féminin","Canonnière",IF('Perso Reloaded'!$C$6="Féminin","Canonnière","Canonnier"))</f>
        <v>Canonnier</v>
      </c>
      <c r="B56" s="240" t="str">
        <f>A56</f>
        <v>Canonnier</v>
      </c>
      <c r="C56" s="238" t="s">
        <v>3743</v>
      </c>
      <c r="D56" s="238" t="s">
        <v>3751</v>
      </c>
      <c r="E56" s="238">
        <f>VLOOKUP(D56,Tableaux!$BS:$BU,3,FALSE)</f>
        <v>20</v>
      </c>
      <c r="F56" s="238">
        <v>3</v>
      </c>
      <c r="G56" s="243" t="s">
        <v>4717</v>
      </c>
      <c r="H56" s="68" t="s">
        <v>4719</v>
      </c>
      <c r="I56" s="68" t="s">
        <v>4718</v>
      </c>
      <c r="J56" s="242" t="s">
        <v>3168</v>
      </c>
      <c r="K56" s="238" t="s">
        <v>4695</v>
      </c>
    </row>
    <row r="57" spans="1:11" ht="24" customHeight="1" x14ac:dyDescent="0.3">
      <c r="A57" s="240" t="s">
        <v>4712</v>
      </c>
      <c r="B57" s="240" t="str">
        <f>IF(OR(OR(Cmd=FALSE),(AND(Syst.="Reloaded",Primes&lt;Atouts!E57))),"",A57)</f>
        <v/>
      </c>
      <c r="C57" s="238" t="s">
        <v>3749</v>
      </c>
      <c r="D57" s="238" t="s">
        <v>3754</v>
      </c>
      <c r="E57" s="238">
        <f>VLOOKUP(D57,Tableaux!$BS:$BU,3,FALSE)</f>
        <v>0</v>
      </c>
      <c r="F57" s="238">
        <v>2</v>
      </c>
      <c r="G57" s="243" t="s">
        <v>4713</v>
      </c>
      <c r="H57" s="68" t="s">
        <v>4714</v>
      </c>
      <c r="I57" s="68" t="s">
        <v>4714</v>
      </c>
      <c r="J57" s="242" t="s">
        <v>3168</v>
      </c>
      <c r="K57" s="238" t="s">
        <v>4694</v>
      </c>
    </row>
    <row r="58" spans="1:11" ht="33" customHeight="1" x14ac:dyDescent="0.3">
      <c r="A58" s="240" t="s">
        <v>5150</v>
      </c>
      <c r="B58" s="240" t="str">
        <f>IF(OR(AND(Détérré=TRUE),(AND(Syst.="Reloaded",Primes&gt;Atouts!E58))),A58,"")</f>
        <v/>
      </c>
      <c r="C58" s="238" t="s">
        <v>3745</v>
      </c>
      <c r="D58" s="238" t="s">
        <v>3752</v>
      </c>
      <c r="E58" s="238">
        <f>VLOOKUP(D58,Tableaux!$BS:$BU,3,FALSE)</f>
        <v>40</v>
      </c>
      <c r="F58" s="238">
        <v>4</v>
      </c>
      <c r="G58" s="243" t="s">
        <v>307</v>
      </c>
      <c r="H58" s="68" t="s">
        <v>5154</v>
      </c>
      <c r="I58" s="68" t="s">
        <v>5155</v>
      </c>
      <c r="J58" s="242" t="s">
        <v>3168</v>
      </c>
      <c r="K58" s="238" t="s">
        <v>5156</v>
      </c>
    </row>
    <row r="59" spans="1:11" ht="24" customHeight="1" x14ac:dyDescent="0.3">
      <c r="A59" s="240" t="str">
        <f>IF(SexePerso="Féminin","Cavalière",IF('Perso Reloaded'!$C$6="Féminin","Cavalière","Cavalier"))</f>
        <v>Cavalier</v>
      </c>
      <c r="B59" s="240" t="str">
        <f>IF(OR(AND(Syst.="Reloaded",Primes&lt;Atouts!E59)),"",A59)</f>
        <v>Cavalier</v>
      </c>
      <c r="C59" s="238" t="s">
        <v>3749</v>
      </c>
      <c r="D59" s="238" t="s">
        <v>3754</v>
      </c>
      <c r="E59" s="238">
        <f>VLOOKUP(D59,Tableaux!$BS:$BU,3,FALSE)</f>
        <v>0</v>
      </c>
      <c r="F59" s="238">
        <v>2</v>
      </c>
      <c r="H59" s="67" t="s">
        <v>1022</v>
      </c>
      <c r="I59" s="67" t="s">
        <v>1022</v>
      </c>
      <c r="J59" s="238" t="s">
        <v>1003</v>
      </c>
      <c r="K59" s="238" t="s">
        <v>3168</v>
      </c>
    </row>
    <row r="60" spans="1:11" ht="24" customHeight="1" x14ac:dyDescent="0.3">
      <c r="A60" s="240" t="str">
        <f>IF(SexePerso="Féminin","Championne",IF('Perso Reloaded'!$C$6="Féminin","Championne","Champion"))</f>
        <v>Champion</v>
      </c>
      <c r="B60" s="240" t="str">
        <f>IF(OR(OR(déAme&lt;8),(AND(Syst.="Reloaded",Primes&lt;Atouts!E60))),"",A60)</f>
        <v/>
      </c>
      <c r="C60" s="238" t="s">
        <v>3749</v>
      </c>
      <c r="D60" s="238" t="s">
        <v>3754</v>
      </c>
      <c r="E60" s="238">
        <f>VLOOKUP(D60,Tableaux!$BS:$BU,3,FALSE)</f>
        <v>0</v>
      </c>
      <c r="F60" s="238">
        <v>2</v>
      </c>
      <c r="G60" s="243" t="s">
        <v>5254</v>
      </c>
      <c r="H60" s="68" t="s">
        <v>3448</v>
      </c>
      <c r="I60" s="68" t="s">
        <v>3804</v>
      </c>
      <c r="J60" s="242" t="s">
        <v>3168</v>
      </c>
      <c r="K60" s="238" t="s">
        <v>3438</v>
      </c>
    </row>
    <row r="61" spans="1:11" ht="24" customHeight="1" x14ac:dyDescent="0.3">
      <c r="A61" s="240" t="s">
        <v>3399</v>
      </c>
      <c r="B61" s="240" t="str">
        <f>IF(OR(OR(déAme&lt;8),(AND(Syst.="Reloaded",Primes&lt;Atouts!E61))),"",A61)</f>
        <v/>
      </c>
      <c r="C61" s="238" t="s">
        <v>3750</v>
      </c>
      <c r="D61" s="238" t="s">
        <v>3754</v>
      </c>
      <c r="E61" s="238">
        <f>VLOOKUP(D61,Tableaux!$BS:$BU,3,FALSE)</f>
        <v>0</v>
      </c>
      <c r="F61" s="238">
        <v>2</v>
      </c>
      <c r="G61" s="243" t="s">
        <v>3176</v>
      </c>
      <c r="H61" s="68" t="s">
        <v>3401</v>
      </c>
      <c r="I61" s="68" t="s">
        <v>3400</v>
      </c>
      <c r="J61" s="238" t="s">
        <v>1005</v>
      </c>
      <c r="K61" s="238" t="s">
        <v>3396</v>
      </c>
    </row>
    <row r="62" spans="1:11" ht="24" customHeight="1" x14ac:dyDescent="0.3">
      <c r="A62" s="240" t="str">
        <f>IF(SexePerso="Féminin","Escroqueuse",IF('Perso Reloaded'!$C$6="Féminin","Escroqueuse","Charlatan"))</f>
        <v>Charlatan</v>
      </c>
      <c r="B62" s="240" t="str">
        <f>IF(OR(OR(déAme&lt;6),(AND(Syst.="Reloaded",Primes&lt;Atouts!E62))),"",A62)</f>
        <v/>
      </c>
      <c r="C62" s="238" t="s">
        <v>3749</v>
      </c>
      <c r="D62" s="238" t="s">
        <v>3754</v>
      </c>
      <c r="E62" s="238">
        <f>VLOOKUP(D62,Tableaux!$BS:$BU,3,FALSE)</f>
        <v>0</v>
      </c>
      <c r="G62" s="243" t="s">
        <v>3450</v>
      </c>
      <c r="H62" s="68" t="s">
        <v>3452</v>
      </c>
      <c r="I62" s="68" t="s">
        <v>3451</v>
      </c>
      <c r="J62" s="242" t="s">
        <v>3168</v>
      </c>
      <c r="K62" s="238" t="s">
        <v>3353</v>
      </c>
    </row>
    <row r="63" spans="1:11" ht="24" customHeight="1" x14ac:dyDescent="0.3">
      <c r="A63" s="240" t="str">
        <f>IF(SexePerso="Féminin","Chasseuse de Monstres",IF('Perso Reloaded'!$C$6="Féminin","Chasseuse de Monstres","Chasseur de Monstres"))</f>
        <v>Chasseur de Monstres</v>
      </c>
      <c r="B63" s="240" t="str">
        <f>IF(OR(OR(déAme&lt;8),(AND(Syst.="Reloaded",Primes&lt;Atouts!E63))),"",A63)</f>
        <v/>
      </c>
      <c r="C63" s="238" t="s">
        <v>3743</v>
      </c>
      <c r="D63" s="238" t="s">
        <v>3751</v>
      </c>
      <c r="E63" s="238">
        <f>VLOOKUP(D63,Tableaux!$BS:$BU,3,FALSE)</f>
        <v>20</v>
      </c>
      <c r="F63" s="238">
        <v>3</v>
      </c>
      <c r="G63" s="243" t="s">
        <v>3161</v>
      </c>
      <c r="H63" s="67" t="s">
        <v>4383</v>
      </c>
      <c r="I63" s="67" t="s">
        <v>4383</v>
      </c>
      <c r="J63" s="242" t="s">
        <v>3168</v>
      </c>
      <c r="K63" s="238" t="s">
        <v>4384</v>
      </c>
    </row>
    <row r="64" spans="1:11" ht="24" customHeight="1" x14ac:dyDescent="0.3">
      <c r="A64" s="240" t="s">
        <v>4982</v>
      </c>
      <c r="B64" s="240" t="str">
        <f>IF(OR(OR(déIntellect&lt;6),(AND(Syst.="Reloaded",Primes&lt;Atouts!E64))),"",A64)</f>
        <v/>
      </c>
      <c r="C64" s="238" t="s">
        <v>3749</v>
      </c>
      <c r="D64" s="238" t="s">
        <v>3751</v>
      </c>
      <c r="E64" s="238">
        <f>VLOOKUP(D64,Tableaux!$BS:$BU,3,FALSE)</f>
        <v>20</v>
      </c>
      <c r="F64" s="238">
        <v>3</v>
      </c>
      <c r="G64" s="243" t="s">
        <v>4983</v>
      </c>
      <c r="H64" s="67" t="s">
        <v>4985</v>
      </c>
      <c r="I64" s="67" t="s">
        <v>4984</v>
      </c>
      <c r="J64" s="242" t="s">
        <v>3168</v>
      </c>
      <c r="K64" s="242" t="s">
        <v>4986</v>
      </c>
    </row>
    <row r="65" spans="1:11" ht="35.25" customHeight="1" x14ac:dyDescent="0.3">
      <c r="A65" s="240" t="str">
        <f>IF(SexePerso="Féminin","Choisie/L'élue",IF('Perso Reloaded'!$C$6="Féminin","Choisie/L'élue","Choisi/L'élu"))</f>
        <v>Choisi/L'élu</v>
      </c>
      <c r="B65" s="240" t="str">
        <f>IF(AND(Syst.="Reloaded",Primes&lt;Atouts!E65),"",A65)</f>
        <v/>
      </c>
      <c r="C65" s="238" t="s">
        <v>3745</v>
      </c>
      <c r="D65" s="238" t="s">
        <v>3752</v>
      </c>
      <c r="E65" s="238">
        <f>VLOOKUP(D65,Tableaux!$BS:$BU,3,FALSE)</f>
        <v>40</v>
      </c>
      <c r="F65" s="238">
        <v>5</v>
      </c>
      <c r="G65" s="399" t="s">
        <v>3168</v>
      </c>
      <c r="H65" s="67" t="s">
        <v>3805</v>
      </c>
      <c r="I65" s="67" t="s">
        <v>3806</v>
      </c>
      <c r="J65" s="238" t="s">
        <v>1007</v>
      </c>
      <c r="K65" s="242" t="s">
        <v>3168</v>
      </c>
    </row>
    <row r="66" spans="1:11" ht="24" customHeight="1" x14ac:dyDescent="0.3">
      <c r="A66" s="240" t="s">
        <v>3336</v>
      </c>
      <c r="B66" s="240" t="str">
        <f>IF(AND(Syst.="Reloaded",Primes&lt;Atouts!E66),"",A66)</f>
        <v/>
      </c>
      <c r="C66" s="238" t="s">
        <v>3745</v>
      </c>
      <c r="D66" s="238" t="s">
        <v>3751</v>
      </c>
      <c r="E66" s="238">
        <f>VLOOKUP(D66,Tableaux!$BS:$BU,3,FALSE)</f>
        <v>20</v>
      </c>
      <c r="F66" s="238">
        <v>3</v>
      </c>
      <c r="G66" s="243" t="s">
        <v>2996</v>
      </c>
      <c r="H66" s="68" t="s">
        <v>3337</v>
      </c>
      <c r="I66" s="68" t="s">
        <v>4277</v>
      </c>
      <c r="J66" s="242" t="s">
        <v>3168</v>
      </c>
      <c r="K66" s="238" t="s">
        <v>3322</v>
      </c>
    </row>
    <row r="67" spans="1:11" ht="24" customHeight="1" x14ac:dyDescent="0.3">
      <c r="A67" s="240" t="s">
        <v>1012</v>
      </c>
      <c r="B67" s="240" t="str">
        <f>IF(OR(OR(vaudou=FALSE,déAme&lt;8),(AND(Syst.="Reloaded",Primes&lt;Atouts!E67))),"",A67)</f>
        <v/>
      </c>
      <c r="C67" s="238" t="s">
        <v>3748</v>
      </c>
      <c r="D67" s="238" t="s">
        <v>3752</v>
      </c>
      <c r="E67" s="238">
        <f>VLOOKUP(D67,Tableaux!$BS:$BU,3,FALSE)</f>
        <v>40</v>
      </c>
      <c r="F67" s="238">
        <v>4</v>
      </c>
      <c r="G67" s="243" t="s">
        <v>3874</v>
      </c>
      <c r="H67" s="67" t="s">
        <v>3243</v>
      </c>
      <c r="I67" s="67" t="s">
        <v>3495</v>
      </c>
      <c r="J67" s="238" t="s">
        <v>1008</v>
      </c>
      <c r="K67" s="238" t="s">
        <v>3497</v>
      </c>
    </row>
    <row r="68" spans="1:11" ht="24" customHeight="1" x14ac:dyDescent="0.3">
      <c r="A68" s="240" t="s">
        <v>1011</v>
      </c>
      <c r="B68" s="240" t="str">
        <f>IF(OR(OR(vaudou=FALSE,déAme&lt;8),(AND(Syst.="Reloaded",Primes&lt;Atouts!E68))),"",A68)</f>
        <v/>
      </c>
      <c r="C68" s="238" t="s">
        <v>3748</v>
      </c>
      <c r="D68" s="238" t="s">
        <v>3751</v>
      </c>
      <c r="E68" s="238">
        <f>VLOOKUP(D68,Tableaux!$BS:$BU,3,FALSE)</f>
        <v>20</v>
      </c>
      <c r="F68" s="238">
        <v>3</v>
      </c>
      <c r="G68" s="243" t="s">
        <v>3873</v>
      </c>
      <c r="H68" s="67" t="s">
        <v>3244</v>
      </c>
      <c r="I68" s="67" t="s">
        <v>3493</v>
      </c>
      <c r="J68" s="238" t="s">
        <v>1008</v>
      </c>
      <c r="K68" s="238" t="s">
        <v>3490</v>
      </c>
    </row>
    <row r="69" spans="1:11" ht="24" customHeight="1" x14ac:dyDescent="0.3">
      <c r="A69" s="240" t="s">
        <v>1009</v>
      </c>
      <c r="B69" s="240" t="str">
        <f>IF(OR(OR(vaudou=FALSE,déAme&lt;8),(AND(Syst.="Reloaded",Primes&lt;Atouts!E69))),"",A69)</f>
        <v/>
      </c>
      <c r="C69" s="238" t="s">
        <v>3748</v>
      </c>
      <c r="D69" s="238" t="s">
        <v>3754</v>
      </c>
      <c r="E69" s="238">
        <f>VLOOKUP(D69,Tableaux!$BS:$BU,3,FALSE)</f>
        <v>0</v>
      </c>
      <c r="F69" s="238">
        <v>1</v>
      </c>
      <c r="G69" s="243" t="s">
        <v>3871</v>
      </c>
      <c r="H69" s="67" t="s">
        <v>3242</v>
      </c>
      <c r="I69" s="67" t="s">
        <v>3492</v>
      </c>
      <c r="J69" s="238" t="s">
        <v>1008</v>
      </c>
      <c r="K69" s="238" t="s">
        <v>3488</v>
      </c>
    </row>
    <row r="70" spans="1:11" ht="24" customHeight="1" x14ac:dyDescent="0.3">
      <c r="A70" s="240" t="s">
        <v>1010</v>
      </c>
      <c r="B70" s="240" t="str">
        <f>IF(OR(OR(vaudou=FALSE,déAme&lt;8),(AND(Syst.="Reloaded",Primes&lt;Atouts!E70))),"",A70)</f>
        <v/>
      </c>
      <c r="C70" s="238" t="s">
        <v>3748</v>
      </c>
      <c r="D70" s="238" t="s">
        <v>3754</v>
      </c>
      <c r="E70" s="238">
        <f>VLOOKUP(D70,Tableaux!$BS:$BU,3,FALSE)</f>
        <v>0</v>
      </c>
      <c r="F70" s="238">
        <v>2</v>
      </c>
      <c r="G70" s="243" t="s">
        <v>3872</v>
      </c>
      <c r="H70" s="67" t="s">
        <v>1023</v>
      </c>
      <c r="I70" s="67" t="s">
        <v>3494</v>
      </c>
      <c r="J70" s="238" t="s">
        <v>1008</v>
      </c>
      <c r="K70" s="238" t="s">
        <v>3489</v>
      </c>
    </row>
    <row r="71" spans="1:11" customFormat="1" ht="22.5" customHeight="1" x14ac:dyDescent="0.3">
      <c r="A71" s="240" t="s">
        <v>1013</v>
      </c>
      <c r="B71" s="240" t="str">
        <f>IF(OR(OR(vaudou=FALSE,déAme&lt;8),(AND(Syst.="Reloaded",Primes&lt;Atouts!E71))),"",A71)</f>
        <v/>
      </c>
      <c r="C71" s="238" t="s">
        <v>3748</v>
      </c>
      <c r="D71" s="238" t="s">
        <v>3753</v>
      </c>
      <c r="E71" s="238">
        <f>VLOOKUP(D71,Tableaux!$BS:$BU,3,FALSE)</f>
        <v>60</v>
      </c>
      <c r="F71" s="238">
        <v>5</v>
      </c>
      <c r="G71" s="243" t="s">
        <v>3875</v>
      </c>
      <c r="H71" s="67" t="s">
        <v>3245</v>
      </c>
      <c r="I71" s="67" t="s">
        <v>3496</v>
      </c>
      <c r="J71" s="238" t="s">
        <v>1008</v>
      </c>
      <c r="K71" s="238" t="s">
        <v>3498</v>
      </c>
    </row>
    <row r="72" spans="1:11" ht="24" customHeight="1" x14ac:dyDescent="0.3">
      <c r="A72" s="240" t="s">
        <v>5158</v>
      </c>
      <c r="B72" s="240" t="str">
        <f>IF(OR(AND(Détérré=TRUE),(AND(Syst.="Reloaded",Primes&gt;Atouts!E72))),A72,"")</f>
        <v/>
      </c>
      <c r="C72" s="238" t="s">
        <v>3750</v>
      </c>
      <c r="D72" s="238" t="s">
        <v>2913</v>
      </c>
      <c r="E72" s="238">
        <f>VLOOKUP(D72,Tableaux!$BS:$BU,3,FALSE)</f>
        <v>80</v>
      </c>
      <c r="F72" s="238">
        <v>5</v>
      </c>
      <c r="G72" s="243" t="s">
        <v>307</v>
      </c>
      <c r="H72" s="67" t="s">
        <v>5159</v>
      </c>
      <c r="I72" s="67" t="s">
        <v>5160</v>
      </c>
      <c r="J72" s="242" t="s">
        <v>3168</v>
      </c>
      <c r="K72" s="238" t="s">
        <v>5156</v>
      </c>
    </row>
    <row r="73" spans="1:11" ht="24" customHeight="1" x14ac:dyDescent="0.3">
      <c r="A73" s="240" t="s">
        <v>4720</v>
      </c>
      <c r="B73" s="240" t="str">
        <f>IF(OR(OR(Arts_Martiaux=FALSE),(AND(Syst.="Reloaded",Primes&lt;Atouts!E62))),"",A73)</f>
        <v/>
      </c>
      <c r="C73" s="238" t="s">
        <v>3743</v>
      </c>
      <c r="D73" s="238" t="s">
        <v>3751</v>
      </c>
      <c r="E73" s="238">
        <f>VLOOKUP(D73,Tableaux!$BS:$BU,3,FALSE)</f>
        <v>20</v>
      </c>
      <c r="F73" s="238">
        <v>3</v>
      </c>
      <c r="G73" s="243" t="s">
        <v>4728</v>
      </c>
      <c r="H73" s="68" t="s">
        <v>4721</v>
      </c>
      <c r="I73" s="68" t="s">
        <v>4721</v>
      </c>
      <c r="J73" s="242" t="s">
        <v>3168</v>
      </c>
      <c r="K73" s="238" t="s">
        <v>4695</v>
      </c>
    </row>
    <row r="74" spans="1:11" ht="24" customHeight="1" x14ac:dyDescent="0.3">
      <c r="A74" s="240" t="str">
        <f>IF(SexePerso="Féminin","Combative",IF('Perso Reloaded'!$C$6="Féminin","Combative","Combatif"))</f>
        <v>Combatif</v>
      </c>
      <c r="B74" s="240" t="str">
        <f>IF(AND(Syst.="Reloaded",Primes&lt;Atouts!E74),"",A74)</f>
        <v/>
      </c>
      <c r="C74" s="238" t="s">
        <v>3743</v>
      </c>
      <c r="D74" s="238" t="s">
        <v>3751</v>
      </c>
      <c r="E74" s="238">
        <f>VLOOKUP(D74,Tableaux!$BS:$BU,3,FALSE)</f>
        <v>20</v>
      </c>
      <c r="F74" s="238">
        <v>3</v>
      </c>
      <c r="G74" s="399" t="s">
        <v>3168</v>
      </c>
      <c r="H74" s="68" t="s">
        <v>3240</v>
      </c>
      <c r="I74" s="68" t="s">
        <v>3241</v>
      </c>
      <c r="J74" s="242" t="s">
        <v>3168</v>
      </c>
      <c r="K74" s="238" t="s">
        <v>3229</v>
      </c>
    </row>
    <row r="75" spans="1:11" ht="24" customHeight="1" x14ac:dyDescent="0.3">
      <c r="A75" s="240" t="s">
        <v>3155</v>
      </c>
      <c r="B75" s="240" t="str">
        <f>IF(OR(OR(déIntellect&lt;6),(AND(Syst.="Reloaded",Primes&lt;Atouts!E75))),"",A75)</f>
        <v/>
      </c>
      <c r="C75" s="238" t="s">
        <v>3744</v>
      </c>
      <c r="D75" s="238" t="s">
        <v>3754</v>
      </c>
      <c r="E75" s="238">
        <f>VLOOKUP(D75,Tableaux!$BS:$BU,3,FALSE)</f>
        <v>0</v>
      </c>
      <c r="F75" s="238">
        <v>2</v>
      </c>
      <c r="G75" s="243" t="s">
        <v>3310</v>
      </c>
      <c r="H75" s="67" t="s">
        <v>3312</v>
      </c>
      <c r="I75" s="67" t="s">
        <v>3311</v>
      </c>
      <c r="J75" s="242" t="s">
        <v>3168</v>
      </c>
      <c r="K75" s="238" t="s">
        <v>3298</v>
      </c>
    </row>
    <row r="76" spans="1:11" ht="35.4" customHeight="1" x14ac:dyDescent="0.3">
      <c r="A76" s="240" t="s">
        <v>5161</v>
      </c>
      <c r="B76" s="240" t="str">
        <f>IF(OR(AND(Détérré=TRUE),(AND(Syst.="Reloaded",Primes&gt;Atouts!E76))),A76,"")</f>
        <v/>
      </c>
      <c r="C76" s="238" t="s">
        <v>3745</v>
      </c>
      <c r="D76" s="238" t="s">
        <v>3751</v>
      </c>
      <c r="E76" s="238">
        <f>VLOOKUP(D76,Tableaux!$BS:$BU,3,FALSE)</f>
        <v>20</v>
      </c>
      <c r="F76" s="238">
        <v>3</v>
      </c>
      <c r="G76" s="243" t="s">
        <v>307</v>
      </c>
      <c r="H76" s="67" t="str">
        <f>CONCATENATE("Permet en réussisant un jet d'Âme opposé d'obtenir la réponse à une question (2 avec une Relance) auprès d'un cadavre mort depuis moins de ",déIntellect, " mois. Le cadavre doit être placé dans un silence absolu, loin de tout autre cadavre et le Détérré ne peut rien faire d'autre tant qu'il utilise ce pouvoir.")</f>
        <v>Permet en réussisant un jet d'Âme opposé d'obtenir la réponse à une question (2 avec une Relance) auprès d'un cadavre mort depuis moins de  mois. Le cadavre doit être placé dans un silence absolu, loin de tout autre cadavre et le Détérré ne peut rien faire d'autre tant qu'il utilise ce pouvoir.</v>
      </c>
      <c r="I76" s="67" t="str">
        <f>CONCATENATE("Permet en réussisant un jet d'Âme opposé d'obtenir la réponse à une question (2 avec une Relance) auprès d'un cadavre mort depuis moins de ",déIntellect, " mois. Le cadavre doit être placé dans un silence absolu, loin de tout autre cadavre et le Détérré ne peut rien faire d'autre tant qu'il utilise ce pouvoir.")</f>
        <v>Permet en réussisant un jet d'Âme opposé d'obtenir la réponse à une question (2 avec une Relance) auprès d'un cadavre mort depuis moins de  mois. Le cadavre doit être placé dans un silence absolu, loin de tout autre cadavre et le Détérré ne peut rien faire d'autre tant qu'il utilise ce pouvoir.</v>
      </c>
      <c r="J76" s="242" t="s">
        <v>3168</v>
      </c>
      <c r="K76" s="238" t="s">
        <v>5156</v>
      </c>
    </row>
    <row r="77" spans="1:11" ht="34.200000000000003" customHeight="1" x14ac:dyDescent="0.3">
      <c r="A77" s="240" t="s">
        <v>5162</v>
      </c>
      <c r="B77" s="240" t="str">
        <f>IF(OR(AND(Détérré=TRUE,Calc!U74=TRUE),(AND(Syst.="Reloaded",Primes&gt;Atouts!E77))),A77,"")</f>
        <v/>
      </c>
      <c r="C77" s="238" t="s">
        <v>3745</v>
      </c>
      <c r="D77" s="238" t="s">
        <v>3753</v>
      </c>
      <c r="E77" s="238">
        <f>VLOOKUP(D77,Tableaux!$BS:$BU,3,FALSE)</f>
        <v>60</v>
      </c>
      <c r="F77" s="238">
        <v>4</v>
      </c>
      <c r="G77" s="243" t="s">
        <v>5164</v>
      </c>
      <c r="H77" s="67" t="str">
        <f>CONCATENATE("Permet en réussisant un jet d'Âme opposé d'obtenir la réponse à une question (2 avec une Relance) auprès d'un cadavre mort depuis moins de ",déIntellect*5, " ans ou ",déIntellect*100," ans sur une Relance. Le cadavre doit être placé dans un silence absolu, loin de tout autre cadavre et le Détérré ne peut rien faire d'autre tant qu'il utilise ce pouvoir")</f>
        <v>Permet en réussisant un jet d'Âme opposé d'obtenir la réponse à une question (2 avec une Relance) auprès d'un cadavre mort depuis moins de 0 ans ou 0 ans sur une Relance. Le cadavre doit être placé dans un silence absolu, loin de tout autre cadavre et le Détérré ne peut rien faire d'autre tant qu'il utilise ce pouvoir</v>
      </c>
      <c r="I77" s="67" t="str">
        <f>CONCATENATE("Permet en réussisant un jet d'Âme opposé d'obtenir la réponse à une question (2 avec une Relance) auprès d'un cadavre mort depuis moins de ",déIntellect*5, " ans ou ",déIntellect*100," ans sur une Relance. Le cadavre doit être placé dans un silence absolu, loin de tout autre cadavre et le Détérré ne peut rien faire d'autre tant qu'il utilise ce pouvoir")</f>
        <v>Permet en réussisant un jet d'Âme opposé d'obtenir la réponse à une question (2 avec une Relance) auprès d'un cadavre mort depuis moins de 0 ans ou 0 ans sur une Relance. Le cadavre doit être placé dans un silence absolu, loin de tout autre cadavre et le Détérré ne peut rien faire d'autre tant qu'il utilise ce pouvoir</v>
      </c>
      <c r="J77" s="242" t="s">
        <v>3168</v>
      </c>
      <c r="K77" s="238" t="s">
        <v>5165</v>
      </c>
    </row>
    <row r="78" spans="1:11" ht="24" customHeight="1" x14ac:dyDescent="0.3">
      <c r="A78" s="240" t="s">
        <v>4669</v>
      </c>
      <c r="B78" s="240" t="str">
        <f>IF(AND(Illumination=TRUE,Arts_Martiaux=TRUE,déAme&gt;5),"Concentration du Chi","")</f>
        <v/>
      </c>
      <c r="C78" s="238" t="s">
        <v>3748</v>
      </c>
      <c r="D78" s="238" t="s">
        <v>3754</v>
      </c>
      <c r="E78" s="238">
        <f>VLOOKUP(D78,Tableaux!$BS:$BU,3,FALSE)</f>
        <v>0</v>
      </c>
      <c r="F78" s="238">
        <v>1</v>
      </c>
      <c r="G78" s="243" t="s">
        <v>4698</v>
      </c>
      <c r="H78" s="237" t="s">
        <v>4670</v>
      </c>
      <c r="I78" s="237" t="s">
        <v>4670</v>
      </c>
      <c r="J78" s="239" t="s">
        <v>3168</v>
      </c>
      <c r="K78" t="s">
        <v>4671</v>
      </c>
    </row>
    <row r="79" spans="1:11" ht="24" customHeight="1" x14ac:dyDescent="0.3">
      <c r="A79" s="240" t="str">
        <f>IF('Perso Classic'!F31&gt;0,"Conscience","")</f>
        <v>Conscience</v>
      </c>
      <c r="B79" s="240" t="str">
        <f>IF(AND(Syst.="Reloaded",Primes&lt;Atouts!E79),"",A79)</f>
        <v>Conscience</v>
      </c>
      <c r="C79" s="238" t="s">
        <v>3748</v>
      </c>
      <c r="D79" s="238" t="s">
        <v>3754</v>
      </c>
      <c r="E79" s="238">
        <f>VLOOKUP(D79,Tableaux!$BS:$BU,3,FALSE)</f>
        <v>0</v>
      </c>
      <c r="F79" s="238">
        <v>1</v>
      </c>
      <c r="G79" s="243" t="s">
        <v>1016</v>
      </c>
      <c r="H79" s="67" t="s">
        <v>1024</v>
      </c>
      <c r="I79" s="67" t="s">
        <v>1024</v>
      </c>
      <c r="J79" s="238" t="s">
        <v>1014</v>
      </c>
      <c r="K79" s="68" t="s">
        <v>3168</v>
      </c>
    </row>
    <row r="80" spans="1:11" ht="24" customHeight="1" x14ac:dyDescent="0.3">
      <c r="A80" s="240" t="str">
        <f>IF(SexePerso="Féminin","Conteuse",IF('Perso Reloaded'!$C$6="Féminin","Conteuse","Conteur"))</f>
        <v>Conteur</v>
      </c>
      <c r="B80" s="240" t="str">
        <f>IF(AND(Syst.="Reloaded",Primes&lt;Atouts!E80),"",A80)</f>
        <v>Conteur</v>
      </c>
      <c r="C80" s="238" t="s">
        <v>3749</v>
      </c>
      <c r="D80" s="238" t="s">
        <v>3754</v>
      </c>
      <c r="E80" s="238">
        <f>VLOOKUP(D80,Tableaux!$BS:$BU,3,FALSE)</f>
        <v>0</v>
      </c>
      <c r="F80" s="238">
        <v>2</v>
      </c>
      <c r="G80" s="243" t="s">
        <v>3453</v>
      </c>
      <c r="H80" s="68" t="s">
        <v>3809</v>
      </c>
      <c r="I80" s="68" t="s">
        <v>3810</v>
      </c>
      <c r="J80" s="242" t="s">
        <v>3168</v>
      </c>
      <c r="K80" s="238" t="s">
        <v>3454</v>
      </c>
    </row>
    <row r="81" spans="1:11" ht="43.2" customHeight="1" x14ac:dyDescent="0.3">
      <c r="A81" s="240" t="s">
        <v>5163</v>
      </c>
      <c r="B81" s="240" t="str">
        <f>IF(OR(AND(Détérré=TRUE),(AND(Syst.="Reloaded",Primes&gt;Atouts!E81))),A81,"")</f>
        <v/>
      </c>
      <c r="C81" s="238" t="s">
        <v>3745</v>
      </c>
      <c r="D81" s="238" t="s">
        <v>3753</v>
      </c>
      <c r="E81" s="238">
        <f>VLOOKUP(D81,Tableaux!$BS:$BU,3,FALSE)</f>
        <v>60</v>
      </c>
      <c r="F81" s="238">
        <v>5</v>
      </c>
      <c r="G81" s="243" t="s">
        <v>307</v>
      </c>
      <c r="H81" s="68" t="s">
        <v>5167</v>
      </c>
      <c r="I81" s="68" t="s">
        <v>5167</v>
      </c>
      <c r="J81" s="242" t="s">
        <v>3168</v>
      </c>
      <c r="K81" s="238" t="s">
        <v>5165</v>
      </c>
    </row>
    <row r="82" spans="1:11" ht="24" customHeight="1" x14ac:dyDescent="0.3">
      <c r="A82" s="240" t="s">
        <v>3246</v>
      </c>
      <c r="B82" s="240" t="str">
        <f>IF(AND(Syst.="Reloaded",Primes&lt;Atouts!E82),"",A82)</f>
        <v/>
      </c>
      <c r="C82" s="238" t="s">
        <v>3743</v>
      </c>
      <c r="D82" s="238" t="s">
        <v>3751</v>
      </c>
      <c r="E82" s="238">
        <f>VLOOKUP(D82,Tableaux!$BS:$BU,3,FALSE)</f>
        <v>20</v>
      </c>
      <c r="F82" s="238">
        <v>3</v>
      </c>
      <c r="G82" s="243" t="s">
        <v>3231</v>
      </c>
      <c r="H82" s="67" t="s">
        <v>3331</v>
      </c>
      <c r="I82" s="67" t="s">
        <v>3807</v>
      </c>
      <c r="J82" s="242" t="s">
        <v>3168</v>
      </c>
      <c r="K82" s="238" t="s">
        <v>3229</v>
      </c>
    </row>
    <row r="83" spans="1:11" ht="24" customHeight="1" x14ac:dyDescent="0.3">
      <c r="A83" s="240" t="s">
        <v>3247</v>
      </c>
      <c r="B83" s="240" t="str">
        <f>IF(OR(OR(contra=FALSE),(AND(Syst.="Reloaded",Primes&lt;Atouts!E83))),"",A83)</f>
        <v/>
      </c>
      <c r="C83" s="238" t="s">
        <v>3743</v>
      </c>
      <c r="D83" s="238" t="s">
        <v>3752</v>
      </c>
      <c r="E83" s="238">
        <f>VLOOKUP(D83,Tableaux!$BS:$BU,3,FALSE)</f>
        <v>40</v>
      </c>
      <c r="F83" s="238">
        <v>5</v>
      </c>
      <c r="G83" s="243" t="s">
        <v>3246</v>
      </c>
      <c r="H83" s="67" t="s">
        <v>3332</v>
      </c>
      <c r="I83" s="67" t="s">
        <v>3808</v>
      </c>
      <c r="J83" s="242" t="s">
        <v>3168</v>
      </c>
      <c r="K83" s="238" t="s">
        <v>3229</v>
      </c>
    </row>
    <row r="84" spans="1:11" ht="36.75" customHeight="1" x14ac:dyDescent="0.3">
      <c r="A84" s="240" t="str">
        <f>IF(SexePerso="Féminin","Convertie",IF('Perso Reloaded'!$C$6="Féminin","Convertie","Converti"))</f>
        <v>Converti</v>
      </c>
      <c r="B84" s="240" t="str">
        <f>IF(OR(OR(EthniePerso&lt;&gt;"Indien"),(AND(Syst.="Reloaded",Primes&lt;Atouts!E84))),"",A84)</f>
        <v/>
      </c>
      <c r="C84" s="238" t="s">
        <v>3755</v>
      </c>
      <c r="D84" s="238" t="s">
        <v>3754</v>
      </c>
      <c r="E84" s="238">
        <f>VLOOKUP(D84,Tableaux!$BS:$BU,3,FALSE)</f>
        <v>0</v>
      </c>
      <c r="F84" s="238">
        <v>1</v>
      </c>
      <c r="G84" s="243" t="s">
        <v>301</v>
      </c>
      <c r="H84" s="67" t="s">
        <v>5255</v>
      </c>
      <c r="I84" s="67" t="s">
        <v>5255</v>
      </c>
      <c r="J84" s="238" t="s">
        <v>1015</v>
      </c>
      <c r="K84" s="242" t="s">
        <v>3168</v>
      </c>
    </row>
    <row r="85" spans="1:11" ht="24" customHeight="1" x14ac:dyDescent="0.3">
      <c r="A85" s="240" t="s">
        <v>3371</v>
      </c>
      <c r="B85" s="240" t="str">
        <f>IF(OR(OR(Endurci=FALSE),(AND(Syst.="Reloaded",Primes&lt;Atouts!E85))),"",A85)</f>
        <v/>
      </c>
      <c r="C85" s="238" t="s">
        <v>3747</v>
      </c>
      <c r="D85" s="238" t="s">
        <v>2913</v>
      </c>
      <c r="E85" s="238">
        <f>VLOOKUP(D85,Tableaux!$BS:$BU,3,FALSE)</f>
        <v>80</v>
      </c>
      <c r="F85" s="238">
        <v>5</v>
      </c>
      <c r="G85" s="243" t="s">
        <v>3368</v>
      </c>
      <c r="H85" s="67" t="s">
        <v>3372</v>
      </c>
      <c r="I85" s="67" t="s">
        <v>3373</v>
      </c>
      <c r="J85" s="242" t="s">
        <v>3168</v>
      </c>
      <c r="K85" s="238" t="s">
        <v>3353</v>
      </c>
    </row>
    <row r="86" spans="1:11" ht="24" customHeight="1" x14ac:dyDescent="0.3">
      <c r="A86" s="240" t="s">
        <v>3359</v>
      </c>
      <c r="B86" s="240" t="str">
        <f>IF(AND(Syst.="Reloaded",Primes&lt;Atouts!E86),"",A86)</f>
        <v/>
      </c>
      <c r="C86" s="238" t="s">
        <v>3746</v>
      </c>
      <c r="D86" s="238" t="s">
        <v>3751</v>
      </c>
      <c r="E86" s="238">
        <f>VLOOKUP(D86,Tableaux!$BS:$BU,3,FALSE)</f>
        <v>20</v>
      </c>
      <c r="F86" s="238">
        <v>3</v>
      </c>
      <c r="G86" s="243" t="s">
        <v>3360</v>
      </c>
      <c r="H86" s="67" t="s">
        <v>3361</v>
      </c>
      <c r="I86" s="68" t="s">
        <v>3362</v>
      </c>
      <c r="J86" s="242" t="s">
        <v>3168</v>
      </c>
      <c r="K86" s="238" t="s">
        <v>3353</v>
      </c>
    </row>
    <row r="87" spans="1:11" ht="24" customHeight="1" x14ac:dyDescent="0.3">
      <c r="A87" s="240" t="s">
        <v>2446</v>
      </c>
      <c r="B87" s="240" t="str">
        <f>IF(OR(OR(déAgilité&lt;8),(AND(Syst.="Reloaded",Primes&lt;Atouts!E87))),"",A87)</f>
        <v/>
      </c>
      <c r="C87" s="238" t="s">
        <v>3745</v>
      </c>
      <c r="D87" s="238" t="s">
        <v>3754</v>
      </c>
      <c r="E87" s="238">
        <f>VLOOKUP(D87,Tableaux!$BS:$BU,3,FALSE)</f>
        <v>0</v>
      </c>
      <c r="F87" s="238">
        <v>2</v>
      </c>
      <c r="G87" s="243" t="s">
        <v>3171</v>
      </c>
      <c r="H87" s="67" t="s">
        <v>3338</v>
      </c>
      <c r="I87" s="67" t="s">
        <v>4809</v>
      </c>
      <c r="J87" s="242" t="s">
        <v>3168</v>
      </c>
      <c r="K87" s="238" t="s">
        <v>4808</v>
      </c>
    </row>
    <row r="88" spans="1:11" ht="24" customHeight="1" x14ac:dyDescent="0.3">
      <c r="A88" s="240" t="s">
        <v>3234</v>
      </c>
      <c r="B88" s="240" t="str">
        <f>IF(AND(Syst.="Reloaded",Primes&lt;Atouts!E88),"",A88)</f>
        <v/>
      </c>
      <c r="C88" s="238" t="s">
        <v>3743</v>
      </c>
      <c r="D88" s="238" t="s">
        <v>3751</v>
      </c>
      <c r="E88" s="238">
        <f>VLOOKUP(D88,Tableaux!$BS:$BU,3,FALSE)</f>
        <v>20</v>
      </c>
      <c r="F88" s="238">
        <v>2</v>
      </c>
      <c r="G88" s="243" t="s">
        <v>3231</v>
      </c>
      <c r="H88" s="67" t="s">
        <v>1025</v>
      </c>
      <c r="I88" s="68" t="s">
        <v>3233</v>
      </c>
      <c r="J88" s="238" t="s">
        <v>1090</v>
      </c>
      <c r="K88" s="238" t="s">
        <v>3229</v>
      </c>
    </row>
    <row r="89" spans="1:11" ht="24" customHeight="1" x14ac:dyDescent="0.3">
      <c r="A89" s="240" t="s">
        <v>3237</v>
      </c>
      <c r="B89" s="240" t="str">
        <f>IF(OR(OR(Bloc3=FALSE),(AND(Syst.="Reloaded",Primes&lt;Atouts!E89))),"",A89)</f>
        <v/>
      </c>
      <c r="C89" s="238" t="s">
        <v>3743</v>
      </c>
      <c r="D89" s="238" t="s">
        <v>2913</v>
      </c>
      <c r="E89" s="238">
        <f>VLOOKUP(D89,Tableaux!$BS:$BU,3,FALSE)</f>
        <v>80</v>
      </c>
      <c r="F89" s="238">
        <v>5</v>
      </c>
      <c r="G89" s="243" t="s">
        <v>3236</v>
      </c>
      <c r="H89" s="67" t="s">
        <v>1025</v>
      </c>
      <c r="I89" s="68" t="s">
        <v>3233</v>
      </c>
      <c r="J89" s="238" t="s">
        <v>1090</v>
      </c>
      <c r="K89" s="238" t="s">
        <v>3229</v>
      </c>
    </row>
    <row r="90" spans="1:11" ht="24" customHeight="1" x14ac:dyDescent="0.3">
      <c r="A90" s="240" t="s">
        <v>3235</v>
      </c>
      <c r="B90" s="240" t="str">
        <f>IF(OR(OR(Bloc1=FALSE),(AND(Syst.="Reloaded",Primes&lt;Atouts!E90))),"",A90)</f>
        <v/>
      </c>
      <c r="C90" s="238" t="s">
        <v>3743</v>
      </c>
      <c r="D90" s="238" t="s">
        <v>3752</v>
      </c>
      <c r="E90" s="238">
        <f>VLOOKUP(D90,Tableaux!$BS:$BU,3,FALSE)</f>
        <v>40</v>
      </c>
      <c r="F90" s="238">
        <v>3</v>
      </c>
      <c r="G90" s="243" t="s">
        <v>3866</v>
      </c>
      <c r="H90" s="67" t="s">
        <v>1025</v>
      </c>
      <c r="I90" s="68" t="s">
        <v>3233</v>
      </c>
      <c r="J90" s="238" t="s">
        <v>1090</v>
      </c>
      <c r="K90" s="238" t="s">
        <v>3229</v>
      </c>
    </row>
    <row r="91" spans="1:11" ht="24" customHeight="1" x14ac:dyDescent="0.3">
      <c r="A91" s="240" t="s">
        <v>3236</v>
      </c>
      <c r="B91" s="240" t="str">
        <f>IF(OR(OR(Bloc2=FALSE),(AND(Syst.="Reloaded",Primes&lt;Atouts!E91))),"",A91)</f>
        <v/>
      </c>
      <c r="C91" s="238" t="s">
        <v>3743</v>
      </c>
      <c r="D91" s="238" t="s">
        <v>3753</v>
      </c>
      <c r="E91" s="238">
        <f>VLOOKUP(D91,Tableaux!$BS:$BU,3,FALSE)</f>
        <v>60</v>
      </c>
      <c r="F91" s="238">
        <v>4</v>
      </c>
      <c r="G91" s="243" t="s">
        <v>3235</v>
      </c>
      <c r="H91" s="67" t="s">
        <v>1025</v>
      </c>
      <c r="I91" s="68" t="s">
        <v>3233</v>
      </c>
      <c r="J91" s="238" t="s">
        <v>1090</v>
      </c>
      <c r="K91" s="238" t="s">
        <v>3229</v>
      </c>
    </row>
    <row r="92" spans="1:11" ht="24" customHeight="1" x14ac:dyDescent="0.3">
      <c r="A92" s="240" t="str">
        <f>IF(SexePerso="Féminin","Damnée",IF('Perso Reloaded'!$C$6="Féminin","Damnée","Damné"))</f>
        <v>Damné</v>
      </c>
      <c r="B92" s="240" t="str">
        <f>IF(OR(OR(réputation=FALSE),(AND(Syst.="Reloaded",Primes&lt;Atouts!E92))),"",A92)</f>
        <v/>
      </c>
      <c r="C92" s="238" t="s">
        <v>3747</v>
      </c>
      <c r="D92" s="238" t="s">
        <v>2913</v>
      </c>
      <c r="E92" s="238">
        <f>VLOOKUP(D92,Tableaux!$BS:$BU,3,FALSE)</f>
        <v>80</v>
      </c>
      <c r="F92" s="238">
        <v>6</v>
      </c>
      <c r="G92" s="243" t="s">
        <v>3366</v>
      </c>
      <c r="H92" s="67" t="s">
        <v>3367</v>
      </c>
      <c r="I92" s="68" t="s">
        <v>3367</v>
      </c>
      <c r="J92" s="242" t="s">
        <v>3168</v>
      </c>
      <c r="K92" s="238" t="s">
        <v>3353</v>
      </c>
    </row>
    <row r="93" spans="1:11" ht="24" customHeight="1" x14ac:dyDescent="0.3">
      <c r="A93" s="240" t="s">
        <v>3354</v>
      </c>
      <c r="B93" s="240" t="str">
        <f>IF(AND(Syst.="Reloaded",Primes&lt;Atouts!E93),"",A93)</f>
        <v/>
      </c>
      <c r="C93" s="238" t="s">
        <v>3746</v>
      </c>
      <c r="D93" s="238" t="s">
        <v>3751</v>
      </c>
      <c r="E93" s="238">
        <f>VLOOKUP(D93,Tableaux!$BS:$BU,3,FALSE)</f>
        <v>20</v>
      </c>
      <c r="F93" s="238">
        <v>3</v>
      </c>
      <c r="G93" s="243" t="s">
        <v>3355</v>
      </c>
      <c r="H93" s="67" t="s">
        <v>3357</v>
      </c>
      <c r="I93" s="68" t="s">
        <v>3358</v>
      </c>
      <c r="J93" s="242" t="s">
        <v>3168</v>
      </c>
      <c r="K93" s="238" t="s">
        <v>3353</v>
      </c>
    </row>
    <row r="94" spans="1:11" ht="24" customHeight="1" x14ac:dyDescent="0.3">
      <c r="A94" s="240" t="str">
        <f>IF(SexePerso="Féminin","Débrouillarde",IF('Perso Reloaded'!$C$6="Féminin","Débrouillarde","Débrouillard"))</f>
        <v>Débrouillard</v>
      </c>
      <c r="B94" s="240" t="str">
        <f>IF(OR(OR(déIntellect&lt;6),(AND(Syst.="Reloaded",Primes&lt;Atouts!E94))),"",A94)</f>
        <v/>
      </c>
      <c r="C94" s="238" t="s">
        <v>3749</v>
      </c>
      <c r="D94" s="238" t="s">
        <v>3754</v>
      </c>
      <c r="E94" s="238">
        <f>VLOOKUP(D94,Tableaux!$BS:$BU,3,FALSE)</f>
        <v>0</v>
      </c>
      <c r="F94" s="238">
        <v>1</v>
      </c>
      <c r="G94" s="243" t="s">
        <v>3455</v>
      </c>
      <c r="H94" s="67" t="s">
        <v>3456</v>
      </c>
      <c r="I94" s="68" t="s">
        <v>3811</v>
      </c>
      <c r="J94" s="242" t="s">
        <v>3168</v>
      </c>
      <c r="K94" s="238" t="s">
        <v>3454</v>
      </c>
    </row>
    <row r="95" spans="1:11" ht="24" customHeight="1" x14ac:dyDescent="0.3">
      <c r="A95" s="240" t="s">
        <v>3248</v>
      </c>
      <c r="B95" s="240" t="str">
        <f>IF(OR(OR(déAgilité&lt;8),(AND(Syst.="Reloaded",Primes&lt;Atouts!E95))),"",A95)</f>
        <v/>
      </c>
      <c r="C95" s="238" t="s">
        <v>3743</v>
      </c>
      <c r="D95" s="238" t="s">
        <v>3754</v>
      </c>
      <c r="E95" s="238">
        <f>VLOOKUP(D95,Tableaux!$BS:$BU,3,FALSE)</f>
        <v>0</v>
      </c>
      <c r="F95" s="238">
        <v>2</v>
      </c>
      <c r="G95" s="243" t="s">
        <v>3157</v>
      </c>
      <c r="H95" s="67" t="s">
        <v>3250</v>
      </c>
      <c r="I95" s="68" t="s">
        <v>3249</v>
      </c>
      <c r="J95" s="242" t="s">
        <v>3168</v>
      </c>
      <c r="K95" s="238" t="s">
        <v>3229</v>
      </c>
    </row>
    <row r="96" spans="1:11" ht="24" customHeight="1" x14ac:dyDescent="0.3">
      <c r="A96" s="240" t="s">
        <v>5273</v>
      </c>
      <c r="B96" s="240" t="str">
        <f>IF(OR(OR(Ferrailleur=FALSE),(AND(Syst.="Reloaded",Primes&lt;Atouts!E96))),"",A96)</f>
        <v/>
      </c>
      <c r="C96" s="238" t="s">
        <v>3745</v>
      </c>
      <c r="D96" s="238" t="s">
        <v>3753</v>
      </c>
      <c r="E96" s="238">
        <f>VLOOKUP(D96,Tableaux!$BS:$BU,3,FALSE)</f>
        <v>60</v>
      </c>
      <c r="F96" s="238">
        <v>4</v>
      </c>
      <c r="G96" s="243" t="s">
        <v>5274</v>
      </c>
      <c r="H96" s="67" t="s">
        <v>5275</v>
      </c>
      <c r="I96" s="67" t="s">
        <v>5275</v>
      </c>
      <c r="J96" s="242" t="s">
        <v>3168</v>
      </c>
      <c r="K96" s="238" t="s">
        <v>5142</v>
      </c>
    </row>
    <row r="97" spans="1:11" ht="24" customHeight="1" x14ac:dyDescent="0.3">
      <c r="A97" s="240" t="s">
        <v>1160</v>
      </c>
      <c r="B97" s="240" t="str">
        <f>IF(OR(OR(déAme&lt;6),(AND(Syst.="Reloaded",Primes&lt;Atouts!E97))),"",A97)</f>
        <v/>
      </c>
      <c r="C97" s="238" t="s">
        <v>3745</v>
      </c>
      <c r="D97" s="238" t="s">
        <v>3754</v>
      </c>
      <c r="E97" s="238">
        <f>VLOOKUP(D97,Tableaux!$BS:$BU,3,FALSE)</f>
        <v>0</v>
      </c>
      <c r="F97" s="238">
        <v>3</v>
      </c>
      <c r="G97" s="243" t="s">
        <v>5087</v>
      </c>
      <c r="H97" s="68" t="s">
        <v>5088</v>
      </c>
      <c r="I97" s="68" t="s">
        <v>5088</v>
      </c>
      <c r="J97" s="242" t="s">
        <v>3168</v>
      </c>
      <c r="K97" s="238" t="s">
        <v>5083</v>
      </c>
    </row>
    <row r="98" spans="1:11" ht="24" customHeight="1" x14ac:dyDescent="0.3">
      <c r="A98" s="240" t="s">
        <v>2091</v>
      </c>
      <c r="B98" s="240" t="str">
        <f>IF(OR(AND(Détérré=TRUE),(AND(Syst.="Reloaded",Primes&gt;Atouts!E98))),A98,"")</f>
        <v/>
      </c>
      <c r="C98" s="238" t="s">
        <v>3745</v>
      </c>
      <c r="D98" s="238" t="s">
        <v>3751</v>
      </c>
      <c r="E98" s="238">
        <f>VLOOKUP(D98,Tableaux!$BS:$BU,3,FALSE)</f>
        <v>20</v>
      </c>
      <c r="F98" s="238">
        <v>3</v>
      </c>
      <c r="G98" s="243" t="s">
        <v>307</v>
      </c>
      <c r="H98" s="68" t="s">
        <v>5225</v>
      </c>
      <c r="I98" s="68" t="s">
        <v>5243</v>
      </c>
      <c r="J98" s="242" t="s">
        <v>2113</v>
      </c>
      <c r="K98" s="242" t="s">
        <v>3168</v>
      </c>
    </row>
    <row r="99" spans="1:11" ht="24" customHeight="1" x14ac:dyDescent="0.3">
      <c r="A99" s="240" t="s">
        <v>1379</v>
      </c>
      <c r="B99" s="240" t="str">
        <f>IF(OR(OR(EthniePerso&lt;&gt;"Canadien"),(AND(Syst.="Reloaded",Primes&lt;Atouts!E99))),"",A99)</f>
        <v/>
      </c>
      <c r="C99" s="238" t="s">
        <v>3755</v>
      </c>
      <c r="D99" s="238" t="s">
        <v>3754</v>
      </c>
      <c r="E99" s="238">
        <f>VLOOKUP(D99,Tableaux!$BS:$BU,3,FALSE)</f>
        <v>0</v>
      </c>
      <c r="F99" s="238">
        <v>1</v>
      </c>
      <c r="G99" s="243" t="s">
        <v>302</v>
      </c>
      <c r="H99" s="67" t="s">
        <v>1026</v>
      </c>
      <c r="I99" s="67" t="s">
        <v>4278</v>
      </c>
      <c r="J99" s="238" t="s">
        <v>1017</v>
      </c>
      <c r="K99" s="242" t="s">
        <v>3168</v>
      </c>
    </row>
    <row r="100" spans="1:11" ht="24" customHeight="1" x14ac:dyDescent="0.3">
      <c r="A100" s="240" t="s">
        <v>266</v>
      </c>
      <c r="B100" s="240" t="str">
        <f>IF(OR(OR(déIntellect&lt;6),(AND(Syst.="Reloaded",Primes&lt;Atouts!E100))),"",A100)</f>
        <v/>
      </c>
      <c r="C100" s="238" t="s">
        <v>3755</v>
      </c>
      <c r="D100" s="238" t="s">
        <v>3754</v>
      </c>
      <c r="E100" s="238">
        <f>VLOOKUP(D100,Tableaux!$BS:$BU,3,FALSE)</f>
        <v>0</v>
      </c>
      <c r="F100" s="238">
        <v>1</v>
      </c>
      <c r="G100" s="243" t="s">
        <v>3167</v>
      </c>
      <c r="H100" s="67" t="s">
        <v>1027</v>
      </c>
      <c r="I100" s="67" t="s">
        <v>4279</v>
      </c>
      <c r="J100" s="238" t="s">
        <v>1005</v>
      </c>
      <c r="K100" s="238" t="s">
        <v>3160</v>
      </c>
    </row>
    <row r="101" spans="1:11" ht="35.25" customHeight="1" x14ac:dyDescent="0.3">
      <c r="A101" s="240" t="str">
        <f>IF(SexePerso="Féminin","Don: Accouchée par le siège",IF('Perso Reloaded'!$C$6="Féminin","Don: Accouchée par le siège","Don: Accouché par le siège"))</f>
        <v>Don: Accouché par le siège</v>
      </c>
      <c r="B101" s="240" t="str">
        <f>IF(AND(Syst.="Reloaded",Primes&lt;Atouts!E101),"",A101)</f>
        <v>Don: Accouché par le siège</v>
      </c>
      <c r="C101" s="238" t="s">
        <v>3745</v>
      </c>
      <c r="D101" s="238" t="s">
        <v>3754</v>
      </c>
      <c r="E101" s="238">
        <f>VLOOKUP(D101,Tableaux!$BS:$BU,3,FALSE)</f>
        <v>0</v>
      </c>
      <c r="F101" s="238">
        <v>5</v>
      </c>
      <c r="G101" s="243" t="s">
        <v>2996</v>
      </c>
      <c r="H101" s="67" t="s">
        <v>3600</v>
      </c>
      <c r="I101" s="67" t="s">
        <v>3339</v>
      </c>
      <c r="J101" s="238" t="s">
        <v>3595</v>
      </c>
      <c r="K101" s="238" t="s">
        <v>3280</v>
      </c>
    </row>
    <row r="102" spans="1:11" ht="24" customHeight="1" x14ac:dyDescent="0.3">
      <c r="A102" s="240" t="str">
        <f>IF(SexePerso="Féminin","Don: Accouchée par les manitous",IF('Perso Reloaded'!$C$6="Féminin","Don: Accouchée par les manitous","Don: Accouché par les manitous"))</f>
        <v>Don: Accouché par les manitous</v>
      </c>
      <c r="B102" s="240" t="str">
        <f>IF(OR(OR(EthniePerso&lt;&gt;"Indien"),(AND(Syst.="Reloaded",Primes&lt;Atouts!E102))),"",A102)</f>
        <v/>
      </c>
      <c r="C102" s="238" t="s">
        <v>3745</v>
      </c>
      <c r="D102" s="238" t="s">
        <v>3754</v>
      </c>
      <c r="E102" s="238">
        <f>VLOOKUP(D102,Tableaux!$BS:$BU,3,FALSE)</f>
        <v>0</v>
      </c>
      <c r="F102" s="238">
        <v>5</v>
      </c>
      <c r="G102" s="243" t="s">
        <v>3340</v>
      </c>
      <c r="H102" s="67" t="s">
        <v>3812</v>
      </c>
      <c r="I102" s="67" t="s">
        <v>4078</v>
      </c>
      <c r="J102" s="238" t="s">
        <v>3595</v>
      </c>
      <c r="K102" s="242" t="s">
        <v>3168</v>
      </c>
    </row>
    <row r="103" spans="1:11" ht="24" customHeight="1" x14ac:dyDescent="0.3">
      <c r="A103" s="240" t="s">
        <v>294</v>
      </c>
      <c r="B103" s="240" t="str">
        <f>IF(AND(Syst.="Reloaded",Primes&lt;Atouts!E103),"",A103)</f>
        <v>Don: Bâtard</v>
      </c>
      <c r="C103" s="238" t="s">
        <v>3745</v>
      </c>
      <c r="D103" s="238" t="s">
        <v>3754</v>
      </c>
      <c r="E103" s="238">
        <f>VLOOKUP(D103,Tableaux!$BS:$BU,3,FALSE)</f>
        <v>0</v>
      </c>
      <c r="F103" s="238">
        <v>4</v>
      </c>
      <c r="G103" s="243" t="s">
        <v>2996</v>
      </c>
      <c r="H103" s="67" t="s">
        <v>3596</v>
      </c>
      <c r="I103" s="67" t="s">
        <v>3279</v>
      </c>
      <c r="J103" s="238" t="s">
        <v>3595</v>
      </c>
      <c r="K103" s="238" t="s">
        <v>3280</v>
      </c>
    </row>
    <row r="104" spans="1:11" ht="35.25" customHeight="1" x14ac:dyDescent="0.3">
      <c r="A104" s="240" t="s">
        <v>3631</v>
      </c>
      <c r="B104" s="240" t="str">
        <f>IF(OR(OR(déAme&lt;8),(AND(Syst.="Reloaded",Primes&lt;Atouts!E104))),"",A104)</f>
        <v/>
      </c>
      <c r="C104" s="238" t="s">
        <v>3745</v>
      </c>
      <c r="D104" s="238" t="s">
        <v>3754</v>
      </c>
      <c r="E104" s="238">
        <f>VLOOKUP(D104,Tableaux!$BS:$BU,3,FALSE)</f>
        <v>0</v>
      </c>
      <c r="F104" s="238">
        <v>5</v>
      </c>
      <c r="G104" s="243" t="s">
        <v>3282</v>
      </c>
      <c r="H104" s="67" t="s">
        <v>3602</v>
      </c>
      <c r="I104" s="67" t="s">
        <v>3813</v>
      </c>
      <c r="J104" s="238" t="s">
        <v>3595</v>
      </c>
      <c r="K104" s="238" t="s">
        <v>3271</v>
      </c>
    </row>
    <row r="105" spans="1:11" ht="35.25" customHeight="1" x14ac:dyDescent="0.3">
      <c r="A105" s="240" t="s">
        <v>295</v>
      </c>
      <c r="B105" s="240" t="str">
        <f>IF(AND(Syst.="Reloaded",Primes&lt;Atouts!E105),"",A105)</f>
        <v>Don: Enfant du corbeau</v>
      </c>
      <c r="C105" s="238" t="s">
        <v>3745</v>
      </c>
      <c r="D105" s="238" t="s">
        <v>3754</v>
      </c>
      <c r="E105" s="238">
        <f>VLOOKUP(D105,Tableaux!$BS:$BU,3,FALSE)</f>
        <v>0</v>
      </c>
      <c r="F105" s="238">
        <v>5</v>
      </c>
      <c r="G105" s="243" t="s">
        <v>2996</v>
      </c>
      <c r="H105" s="67" t="s">
        <v>3601</v>
      </c>
      <c r="I105" s="67" t="s">
        <v>4816</v>
      </c>
      <c r="J105" s="238" t="s">
        <v>3595</v>
      </c>
      <c r="K105" s="242" t="s">
        <v>3168</v>
      </c>
    </row>
    <row r="106" spans="1:11" ht="24" customHeight="1" x14ac:dyDescent="0.3">
      <c r="A106" s="240" t="s">
        <v>4810</v>
      </c>
      <c r="B106" s="240" t="str">
        <f>IF(AND(Syst.="Reloaded",Primes&lt;Atouts!E106),"",A106)</f>
        <v>Don: Etoile Filante</v>
      </c>
      <c r="C106" s="238" t="s">
        <v>3745</v>
      </c>
      <c r="D106" s="238" t="s">
        <v>3754</v>
      </c>
      <c r="E106" s="238">
        <v>0</v>
      </c>
      <c r="F106" s="238">
        <v>5</v>
      </c>
      <c r="G106" s="243" t="s">
        <v>2996</v>
      </c>
      <c r="H106" s="67" t="s">
        <v>4813</v>
      </c>
      <c r="I106" s="67" t="s">
        <v>4811</v>
      </c>
      <c r="J106" s="242" t="s">
        <v>4812</v>
      </c>
      <c r="K106" s="242" t="s">
        <v>4792</v>
      </c>
    </row>
    <row r="107" spans="1:11" ht="24" customHeight="1" x14ac:dyDescent="0.3">
      <c r="A107" s="240" t="s">
        <v>296</v>
      </c>
      <c r="B107" s="240" t="str">
        <f>IF(AND(Syst.="Reloaded",Primes&lt;Atouts!E107),"",A107)</f>
        <v>Don: Le souffle de la mort</v>
      </c>
      <c r="C107" s="238" t="s">
        <v>3745</v>
      </c>
      <c r="D107" s="238" t="s">
        <v>3754</v>
      </c>
      <c r="E107" s="238">
        <f>VLOOKUP(D107,Tableaux!$BS:$BU,3,FALSE)</f>
        <v>0</v>
      </c>
      <c r="F107" s="238">
        <v>2</v>
      </c>
      <c r="G107" s="243" t="s">
        <v>2996</v>
      </c>
      <c r="H107" s="67" t="s">
        <v>3603</v>
      </c>
      <c r="I107" s="67" t="s">
        <v>3814</v>
      </c>
      <c r="J107" s="238" t="s">
        <v>3595</v>
      </c>
      <c r="K107" s="242" t="s">
        <v>3168</v>
      </c>
    </row>
    <row r="108" spans="1:11" ht="24" customHeight="1" x14ac:dyDescent="0.3">
      <c r="A108" s="240" t="s">
        <v>297</v>
      </c>
      <c r="B108" s="240" t="str">
        <f>IF(AND(Syst.="Reloaded",Primes&lt;Atouts!E108),"",A108)</f>
        <v/>
      </c>
      <c r="C108" s="238" t="s">
        <v>3745</v>
      </c>
      <c r="D108" s="238" t="s">
        <v>3751</v>
      </c>
      <c r="E108" s="238">
        <f>VLOOKUP(D108,Tableaux!$BS:$BU,3,FALSE)</f>
        <v>20</v>
      </c>
      <c r="F108" s="238">
        <v>5</v>
      </c>
      <c r="G108" s="243" t="s">
        <v>2996</v>
      </c>
      <c r="H108" s="67" t="s">
        <v>3815</v>
      </c>
      <c r="I108" s="67" t="s">
        <v>4423</v>
      </c>
      <c r="J108" s="238" t="s">
        <v>3595</v>
      </c>
      <c r="K108" s="242" t="s">
        <v>3168</v>
      </c>
    </row>
    <row r="109" spans="1:11" ht="24" customHeight="1" x14ac:dyDescent="0.3">
      <c r="A109" s="240" t="str">
        <f>IF(SexePerso="Féminin","Don: Née dans la Tourmente",IF('Perso Reloaded'!$C$6="Féminin","Don: Née dans la Tourmente","Don: Né dans la Tourmente"))</f>
        <v>Don: Né dans la Tourmente</v>
      </c>
      <c r="B109" s="240" t="str">
        <f>IF(AND(Syst.="Reloaded",Primes&lt;Atouts!E109),"",A109)</f>
        <v>Don: Né dans la Tourmente</v>
      </c>
      <c r="C109" s="238" t="s">
        <v>3745</v>
      </c>
      <c r="D109" s="238" t="s">
        <v>3754</v>
      </c>
      <c r="E109" s="238">
        <f>VLOOKUP(D109,Tableaux!$BS:$BU,3,FALSE)</f>
        <v>0</v>
      </c>
      <c r="F109" s="238">
        <v>5</v>
      </c>
      <c r="G109" s="243" t="s">
        <v>2996</v>
      </c>
      <c r="H109" s="67" t="s">
        <v>4815</v>
      </c>
      <c r="I109" s="67" t="s">
        <v>4814</v>
      </c>
      <c r="J109" s="242" t="s">
        <v>3168</v>
      </c>
      <c r="K109" s="238" t="s">
        <v>4792</v>
      </c>
    </row>
    <row r="110" spans="1:11" ht="24" customHeight="1" x14ac:dyDescent="0.3">
      <c r="A110" s="240" t="str">
        <f>IF(OR(SexePerso="Féminin",'Perso Reloaded'!$C$6="Féminin"),"Don: Née de bon augure","Don: Né de bon augure")</f>
        <v>Don: Né de bon augure</v>
      </c>
      <c r="B110" s="240" t="str">
        <f>IF(OR(OR(EthniePerso&lt;&gt;"Aztèque"),(AND(Syst.="Reloaded",Primes&lt;Atouts!E110))),"",A110)</f>
        <v/>
      </c>
      <c r="C110" s="238" t="s">
        <v>3745</v>
      </c>
      <c r="D110" s="238" t="s">
        <v>3753</v>
      </c>
      <c r="E110" s="238">
        <f>VLOOKUP(D110,Tableaux!$BS:$BU,3,FALSE)</f>
        <v>60</v>
      </c>
      <c r="F110" s="238">
        <v>5</v>
      </c>
      <c r="G110" s="243" t="s">
        <v>1070</v>
      </c>
      <c r="H110" s="67" t="s">
        <v>1073</v>
      </c>
      <c r="I110" s="67" t="s">
        <v>3583</v>
      </c>
      <c r="J110" s="238" t="s">
        <v>1045</v>
      </c>
      <c r="K110" s="242" t="s">
        <v>3168</v>
      </c>
    </row>
    <row r="111" spans="1:11" ht="24" customHeight="1" x14ac:dyDescent="0.3">
      <c r="A111" s="240" t="str">
        <f>IF(SexePerso="Féminin","Don: Née pendant halloween/Le jour de la Toussaint",IF('Perso Reloaded'!$C$6="Féminin","Don: Née pendant halloween/Le jour de la Toussaint","Don: Né pendant halloween/Le jour de la Toussaint"))</f>
        <v>Don: Né pendant halloween/Le jour de la Toussaint</v>
      </c>
      <c r="B111" s="240" t="str">
        <f>IF(AND(Syst.="Reloaded",Primes&lt;Atouts!E111),"",A111)</f>
        <v>Don: Né pendant halloween/Le jour de la Toussaint</v>
      </c>
      <c r="C111" s="238" t="s">
        <v>3745</v>
      </c>
      <c r="D111" s="238" t="s">
        <v>3754</v>
      </c>
      <c r="E111" s="238">
        <f>VLOOKUP(D111,Tableaux!$BS:$BU,3,FALSE)</f>
        <v>0</v>
      </c>
      <c r="F111" s="238">
        <v>5</v>
      </c>
      <c r="G111" s="243" t="s">
        <v>2996</v>
      </c>
      <c r="H111" s="67" t="s">
        <v>3598</v>
      </c>
      <c r="I111" s="67" t="s">
        <v>3598</v>
      </c>
      <c r="J111" s="238" t="s">
        <v>3595</v>
      </c>
      <c r="K111" s="242" t="s">
        <v>3168</v>
      </c>
    </row>
    <row r="112" spans="1:11" ht="24" customHeight="1" x14ac:dyDescent="0.3">
      <c r="A112" s="240" t="str">
        <f>IF(SexePerso="Féminin","Don: Née sous la lune rousse",IF('Perso Reloaded'!$C$6="Féminin","Don: Née sous la lune rousse","Don: Né sous la lune rousse"))</f>
        <v>Don: Né sous la lune rousse</v>
      </c>
      <c r="B112" s="240" t="str">
        <f>IF(AND(Syst.="Reloaded",Primes&lt;Atouts!E112),"",A112)</f>
        <v>Don: Né sous la lune rousse</v>
      </c>
      <c r="C112" s="238" t="s">
        <v>3745</v>
      </c>
      <c r="D112" s="238" t="s">
        <v>3754</v>
      </c>
      <c r="E112" s="238">
        <f>VLOOKUP(D112,Tableaux!$BS:$BU,3,FALSE)</f>
        <v>0</v>
      </c>
      <c r="F112" s="238">
        <v>5</v>
      </c>
      <c r="G112" s="243" t="s">
        <v>2996</v>
      </c>
      <c r="H112" s="67" t="s">
        <v>1209</v>
      </c>
      <c r="I112" s="67" t="s">
        <v>3599</v>
      </c>
      <c r="J112" s="238" t="s">
        <v>3595</v>
      </c>
      <c r="K112" s="238" t="s">
        <v>3168</v>
      </c>
    </row>
    <row r="113" spans="1:11" ht="24" customHeight="1" x14ac:dyDescent="0.3">
      <c r="A113" s="240" t="str">
        <f>IF(EthniePerso="Indien","Don: Accouché par les esprits","Don: Né(e) à Noël/Naissance Difficile")</f>
        <v>Don: Né(e) à Noël/Naissance Difficile</v>
      </c>
      <c r="B113" s="240" t="str">
        <f>IF(AND(Syst.="Reloaded",Primes&lt;Atouts!E113),"",A113)</f>
        <v>Don: Né(e) à Noël/Naissance Difficile</v>
      </c>
      <c r="C113" s="238" t="s">
        <v>3745</v>
      </c>
      <c r="D113" s="238" t="s">
        <v>3754</v>
      </c>
      <c r="E113" s="238">
        <f>VLOOKUP(D113,Tableaux!$BS:$BU,3,FALSE)</f>
        <v>0</v>
      </c>
      <c r="F113" s="238">
        <v>5</v>
      </c>
      <c r="G113" s="243" t="s">
        <v>2996</v>
      </c>
      <c r="H113" s="67" t="s">
        <v>3597</v>
      </c>
      <c r="I113" s="67" t="s">
        <v>5256</v>
      </c>
      <c r="J113" s="238" t="s">
        <v>3595</v>
      </c>
      <c r="K113" s="238" t="s">
        <v>3280</v>
      </c>
    </row>
    <row r="114" spans="1:11" ht="24" customHeight="1" x14ac:dyDescent="0.3">
      <c r="A114" s="240" t="str">
        <f>IF(SexePerso="Féminin","Don: Ouragan/ Touchée par les Esprits",IF('Perso Reloaded'!$C$6="Féminin","Don: Ouragan/ Touchée par les Esprits","Don: Ouragan/ Touché par les Esprits"))</f>
        <v>Don: Ouragan/ Touché par les Esprits</v>
      </c>
      <c r="B114" s="240" t="str">
        <f>IF(OR(OR(Chanceux=FALSE),(AND(Syst.="Reloaded",Primes&lt;Atouts!E114))),"",A114)</f>
        <v/>
      </c>
      <c r="C114" s="238" t="s">
        <v>3745</v>
      </c>
      <c r="D114" s="238" t="s">
        <v>3754</v>
      </c>
      <c r="E114" s="238">
        <f>VLOOKUP(D114,Tableaux!$BS:$BU,3,FALSE)</f>
        <v>0</v>
      </c>
      <c r="F114" s="238">
        <v>2</v>
      </c>
      <c r="G114" s="243" t="s">
        <v>3644</v>
      </c>
      <c r="H114" s="67" t="s">
        <v>4817</v>
      </c>
      <c r="I114" s="67" t="s">
        <v>4818</v>
      </c>
      <c r="J114" s="238" t="s">
        <v>3595</v>
      </c>
      <c r="K114" s="238" t="s">
        <v>4792</v>
      </c>
    </row>
    <row r="115" spans="1:11" ht="24" customHeight="1" x14ac:dyDescent="0.3">
      <c r="A115" s="240" t="s">
        <v>298</v>
      </c>
      <c r="B115" s="240" t="str">
        <f>IF(AND(Syst.="Reloaded",Primes&lt;Atouts!E115),"",A115)</f>
        <v>Don: Septième Enfant</v>
      </c>
      <c r="C115" s="238" t="s">
        <v>3745</v>
      </c>
      <c r="D115" s="238" t="s">
        <v>3754</v>
      </c>
      <c r="E115" s="238">
        <f>VLOOKUP(D115,Tableaux!$BS:$BU,3,FALSE)</f>
        <v>0</v>
      </c>
      <c r="F115" s="238">
        <v>5</v>
      </c>
      <c r="G115" s="243" t="s">
        <v>2996</v>
      </c>
      <c r="H115" s="67" t="s">
        <v>1210</v>
      </c>
      <c r="I115" s="67" t="s">
        <v>4280</v>
      </c>
      <c r="J115" s="238" t="s">
        <v>3595</v>
      </c>
      <c r="K115" s="238" t="s">
        <v>3280</v>
      </c>
    </row>
    <row r="116" spans="1:11" ht="24" customHeight="1" x14ac:dyDescent="0.3">
      <c r="A116" s="240" t="s">
        <v>3632</v>
      </c>
      <c r="B116" s="240" t="str">
        <f>IF(AND(Syst.="Reloaded",Primes&lt;Atouts!E116),"",A116)</f>
        <v>Don: Voile Bleu/Sixième Sens</v>
      </c>
      <c r="C116" s="238" t="s">
        <v>3745</v>
      </c>
      <c r="D116" s="238" t="s">
        <v>3754</v>
      </c>
      <c r="E116" s="238">
        <f>VLOOKUP(D116,Tableaux!$BS:$BU,3,FALSE)</f>
        <v>0</v>
      </c>
      <c r="F116" s="238">
        <v>5</v>
      </c>
      <c r="G116" s="399" t="s">
        <v>3168</v>
      </c>
      <c r="H116" s="67" t="s">
        <v>1211</v>
      </c>
      <c r="I116" s="67" t="s">
        <v>3816</v>
      </c>
      <c r="J116" s="238" t="s">
        <v>3595</v>
      </c>
      <c r="K116" s="238" t="s">
        <v>3280</v>
      </c>
    </row>
    <row r="117" spans="1:11" ht="24" customHeight="1" x14ac:dyDescent="0.3">
      <c r="A117" s="240" t="str">
        <f>IF(SexePerso="Féminin","Donneuse",IF('Perso Reloaded'!$C$6="Féminin","Donneuse","Donneur"))</f>
        <v>Donneur</v>
      </c>
      <c r="B117" s="240" t="str">
        <f>IF(AND(Syst.="Reloaded",Primes&lt;Atouts!E117),"",A117)</f>
        <v>Donneur</v>
      </c>
      <c r="C117" s="238" t="s">
        <v>3750</v>
      </c>
      <c r="D117" s="238" t="s">
        <v>3754</v>
      </c>
      <c r="E117" s="238">
        <f>VLOOKUP(D117,Tableaux!$BS:$BU,3,FALSE)</f>
        <v>0</v>
      </c>
      <c r="F117" s="238">
        <v>2</v>
      </c>
      <c r="G117" s="243" t="s">
        <v>3402</v>
      </c>
      <c r="H117" s="67" t="s">
        <v>3403</v>
      </c>
      <c r="I117" s="67" t="s">
        <v>3817</v>
      </c>
      <c r="J117" s="242" t="s">
        <v>3168</v>
      </c>
    </row>
    <row r="118" spans="1:11" ht="31.2" customHeight="1" x14ac:dyDescent="0.3">
      <c r="A118" s="240" t="s">
        <v>4804</v>
      </c>
      <c r="B118" s="240" t="str">
        <f>IF(OR(OR(JDFA=FALSE,TElite=FALSE,déAme&lt;7),(AND(Syst.="Reloaded",Primes&lt;Atouts!E118))),"",A118)</f>
        <v/>
      </c>
      <c r="C118" s="238" t="s">
        <v>3743</v>
      </c>
      <c r="D118" s="238" t="s">
        <v>3752</v>
      </c>
      <c r="E118" s="238">
        <f>VLOOKUP(D118,Tableaux!$BS:$BU,3,FALSE)</f>
        <v>40</v>
      </c>
      <c r="F118" s="238">
        <v>4</v>
      </c>
      <c r="G118" s="243" t="s">
        <v>4805</v>
      </c>
      <c r="H118" s="67" t="s">
        <v>4807</v>
      </c>
      <c r="I118" s="67" t="s">
        <v>4806</v>
      </c>
      <c r="J118" s="242" t="s">
        <v>3168</v>
      </c>
      <c r="K118" s="238" t="s">
        <v>4792</v>
      </c>
    </row>
    <row r="119" spans="1:11" ht="24" customHeight="1" x14ac:dyDescent="0.3">
      <c r="A119" s="240" t="s">
        <v>3959</v>
      </c>
      <c r="B119" s="240" t="str">
        <f>IF(AND(Syst.="Reloaded",Primes&lt;Atouts!E119),"",A119)</f>
        <v>Duelliste</v>
      </c>
      <c r="C119" s="238" t="s">
        <v>3743</v>
      </c>
      <c r="D119" s="238" t="s">
        <v>3754</v>
      </c>
      <c r="E119" s="238">
        <f>VLOOKUP(D119,Tableaux!$BS:$BU,3,FALSE)</f>
        <v>0</v>
      </c>
      <c r="F119" s="238">
        <v>2</v>
      </c>
      <c r="G119" s="243" t="s">
        <v>3958</v>
      </c>
      <c r="H119" s="67" t="s">
        <v>4270</v>
      </c>
      <c r="I119" s="67" t="s">
        <v>4269</v>
      </c>
      <c r="J119" s="242" t="s">
        <v>3168</v>
      </c>
      <c r="K119" s="238" t="s">
        <v>3960</v>
      </c>
    </row>
    <row r="120" spans="1:11" ht="24" customHeight="1" x14ac:dyDescent="0.3">
      <c r="A120" s="240" t="str">
        <f>IF(SexePerso="Féminin","Dure à cuire",IF('Perso Reloaded'!$C$6="Féminin","Dure à cuire","Dur à cuire"))</f>
        <v>Dur à cuire</v>
      </c>
      <c r="B120" s="240" t="str">
        <f>IF(OR(OR(déAme&lt;8),(AND(Syst.="Reloaded",Primes&lt;Atouts!E120))),"",A120)</f>
        <v/>
      </c>
      <c r="C120" s="238" t="s">
        <v>3749</v>
      </c>
      <c r="D120" s="238" t="s">
        <v>3754</v>
      </c>
      <c r="E120" s="238">
        <f>VLOOKUP(D120,Tableaux!$BS:$BU,3,FALSE)</f>
        <v>0</v>
      </c>
      <c r="F120" s="238">
        <v>1</v>
      </c>
      <c r="G120" s="243" t="s">
        <v>3176</v>
      </c>
      <c r="H120" s="67" t="s">
        <v>1538</v>
      </c>
      <c r="I120" s="67" t="s">
        <v>3412</v>
      </c>
      <c r="J120" s="238" t="s">
        <v>1005</v>
      </c>
      <c r="K120" s="238" t="s">
        <v>3411</v>
      </c>
    </row>
    <row r="121" spans="1:11" ht="24" customHeight="1" x14ac:dyDescent="0.3">
      <c r="A121" s="240" t="str">
        <f>IF(SexePerso="Féminin","Elève douée",IF('Perso Reloaded'!$C$6="Féminin","Elève douée","Elève doué"))</f>
        <v>Elève doué</v>
      </c>
      <c r="B121" s="240" t="str">
        <f>IF(OR(OR(mds=FALSE),(AND(Syst.="Reloaded",Primes&lt;Atouts!E121))),"",A121)</f>
        <v/>
      </c>
      <c r="C121" s="238" t="s">
        <v>3748</v>
      </c>
      <c r="D121" s="238" t="s">
        <v>3754</v>
      </c>
      <c r="E121" s="238">
        <f>VLOOKUP(D121,Tableaux!$BS:$BU,3,FALSE)</f>
        <v>0</v>
      </c>
      <c r="F121" s="238">
        <v>2</v>
      </c>
      <c r="G121" s="243" t="s">
        <v>1028</v>
      </c>
      <c r="H121" s="67" t="s">
        <v>1499</v>
      </c>
      <c r="I121" s="67" t="s">
        <v>4348</v>
      </c>
      <c r="J121" s="238" t="s">
        <v>1029</v>
      </c>
      <c r="K121" s="68" t="s">
        <v>3168</v>
      </c>
    </row>
    <row r="122" spans="1:11" ht="24" customHeight="1" x14ac:dyDescent="0.3">
      <c r="A122" s="240" t="str">
        <f>IF(SexePerso="Féminin","Elevée par les indiens",IF('Perso Reloaded'!$C$6="Féminin","Elevée par les indiens","Elevé par les indiens"))</f>
        <v>Elevé par les indiens</v>
      </c>
      <c r="B122" s="240" t="str">
        <f>IF(OR(EthniePerso="Indien",AND(Syst.="Reloaded",Primes&lt;Atouts!E122)),"",A122)</f>
        <v>Elevé par les indiens</v>
      </c>
      <c r="C122" s="238" t="s">
        <v>3755</v>
      </c>
      <c r="D122" s="238" t="s">
        <v>3754</v>
      </c>
      <c r="E122" s="238">
        <f>VLOOKUP(D122,Tableaux!$BS:$BU,3,FALSE)</f>
        <v>0</v>
      </c>
      <c r="F122" s="238">
        <v>3</v>
      </c>
      <c r="G122" s="399" t="s">
        <v>3168</v>
      </c>
      <c r="H122" s="67" t="s">
        <v>1500</v>
      </c>
      <c r="I122" s="67" t="s">
        <v>1500</v>
      </c>
      <c r="J122" s="238" t="s">
        <v>1015</v>
      </c>
      <c r="K122" s="238" t="s">
        <v>3168</v>
      </c>
    </row>
    <row r="123" spans="1:11" ht="33.6" customHeight="1" x14ac:dyDescent="0.3">
      <c r="A123" s="240" t="s">
        <v>5170</v>
      </c>
      <c r="B123" s="240" t="str">
        <f>IF(OR(AND(Détérré=TRUE),(AND(Syst.="Reloaded",Primes&gt;Atouts!E123))),A123,"")</f>
        <v/>
      </c>
      <c r="C123" s="238" t="s">
        <v>3745</v>
      </c>
      <c r="D123" s="238" t="s">
        <v>3751</v>
      </c>
      <c r="E123" s="238">
        <f>VLOOKUP(D123,Tableaux!$BS:$BU,3,FALSE)</f>
        <v>20</v>
      </c>
      <c r="F123" s="238">
        <v>2</v>
      </c>
      <c r="G123" s="399" t="s">
        <v>307</v>
      </c>
      <c r="H123" s="67" t="s">
        <v>5185</v>
      </c>
      <c r="I123" s="67" t="s">
        <v>5184</v>
      </c>
      <c r="J123" s="242" t="s">
        <v>3168</v>
      </c>
      <c r="K123" s="238" t="s">
        <v>5166</v>
      </c>
    </row>
    <row r="124" spans="1:11" ht="24" customHeight="1" x14ac:dyDescent="0.3">
      <c r="A124" s="240" t="str">
        <f>IF(SexePerso="Féminin","Endurcie",IF('Perso Reloaded'!$C$6="Féminin","Endurcie","Endurci"))</f>
        <v>Endurci</v>
      </c>
      <c r="B124" s="240" t="str">
        <f>IF(AND(Syst.="Reloaded",Primes&lt;Atouts!E124),"",A124)</f>
        <v/>
      </c>
      <c r="C124" s="238" t="s">
        <v>3747</v>
      </c>
      <c r="D124" s="238" t="s">
        <v>2913</v>
      </c>
      <c r="E124" s="238">
        <f>VLOOKUP(D124,Tableaux!$BS:$BU,3,FALSE)</f>
        <v>80</v>
      </c>
      <c r="F124" s="238">
        <v>5</v>
      </c>
      <c r="G124" s="399" t="s">
        <v>3168</v>
      </c>
      <c r="H124" s="67" t="s">
        <v>3370</v>
      </c>
      <c r="I124" s="67" t="s">
        <v>3369</v>
      </c>
      <c r="J124" s="242" t="s">
        <v>3168</v>
      </c>
      <c r="K124" s="238" t="s">
        <v>3353</v>
      </c>
    </row>
    <row r="125" spans="1:11" ht="24" customHeight="1" x14ac:dyDescent="0.3">
      <c r="A125" s="240" t="s">
        <v>4385</v>
      </c>
      <c r="B125" s="240" t="str">
        <f>IF(AND(Syst.="Reloaded",Primes&lt;Atouts!E125),"",A125)</f>
        <v/>
      </c>
      <c r="C125" s="238" t="s">
        <v>3755</v>
      </c>
      <c r="D125" s="238" t="s">
        <v>3751</v>
      </c>
      <c r="E125" s="238">
        <f>VLOOKUP(D125,Tableaux!$BS:$BU,3,FALSE)</f>
        <v>20</v>
      </c>
      <c r="F125" s="238">
        <v>2</v>
      </c>
      <c r="G125" s="399" t="s">
        <v>3168</v>
      </c>
      <c r="H125" s="68" t="s">
        <v>4386</v>
      </c>
      <c r="I125" s="68" t="s">
        <v>4386</v>
      </c>
      <c r="J125" s="242" t="s">
        <v>3168</v>
      </c>
      <c r="K125" s="238" t="s">
        <v>4384</v>
      </c>
    </row>
    <row r="126" spans="1:11" ht="24" customHeight="1" x14ac:dyDescent="0.3">
      <c r="A126" s="240" t="str">
        <f>IF(SexePerso="Féminin","Enfant de la nature/Forestière",IF('Perso Reloaded'!$C$6="Féminin","Enfant de la nature/Forestère","Enfant de la nature/Forestier"))</f>
        <v>Enfant de la nature/Forestier</v>
      </c>
      <c r="B126" s="240" t="str">
        <f>IF(OR(OR(déAme&lt;6),(AND(Syst.="Reloaded",Primes&lt;Atouts!E126))),"",A126)</f>
        <v/>
      </c>
      <c r="C126" s="238" t="s">
        <v>3755</v>
      </c>
      <c r="D126" s="238" t="s">
        <v>3754</v>
      </c>
      <c r="E126" s="238">
        <f>VLOOKUP(D126,Tableaux!$BS:$BU,3,FALSE)</f>
        <v>0</v>
      </c>
      <c r="F126" s="238">
        <v>1</v>
      </c>
      <c r="G126" s="243" t="s">
        <v>3459</v>
      </c>
      <c r="H126" s="68" t="s">
        <v>5221</v>
      </c>
      <c r="I126" s="68" t="s">
        <v>3460</v>
      </c>
      <c r="J126" s="238" t="s">
        <v>1017</v>
      </c>
      <c r="K126" s="238" t="s">
        <v>3454</v>
      </c>
    </row>
    <row r="127" spans="1:11" ht="24" customHeight="1" x14ac:dyDescent="0.3">
      <c r="A127" s="240" t="str">
        <f>IF(SexePerso="Féminin","Enragée",IF('Perso Reloaded'!$C$6="Féminin","Enragée","Enragé"))</f>
        <v>Enragé</v>
      </c>
      <c r="B127" s="240" t="str">
        <f>IF(AND(Syst.="Reloaded",Primes&lt;Atouts!E127),"",A127)</f>
        <v>Enragé</v>
      </c>
      <c r="C127" s="238" t="s">
        <v>3755</v>
      </c>
      <c r="D127" s="238" t="s">
        <v>3754</v>
      </c>
      <c r="E127" s="238">
        <f>VLOOKUP(D127,Tableaux!$BS:$BU,3,FALSE)</f>
        <v>0</v>
      </c>
      <c r="F127" s="238">
        <v>3</v>
      </c>
      <c r="G127" s="399" t="s">
        <v>3168</v>
      </c>
      <c r="H127" s="68" t="s">
        <v>3333</v>
      </c>
      <c r="I127" s="68" t="s">
        <v>3818</v>
      </c>
      <c r="J127" s="68" t="s">
        <v>3168</v>
      </c>
      <c r="K127" s="238" t="s">
        <v>3160</v>
      </c>
    </row>
    <row r="128" spans="1:11" ht="24" customHeight="1" x14ac:dyDescent="0.3">
      <c r="A128" s="240" t="str">
        <f>IF(SexePerso="Féminin","Erudite",IF('Perso Reloaded'!$C$6="Féminin","Erudite","Erudit"))</f>
        <v>Erudit</v>
      </c>
      <c r="B128" s="240" t="str">
        <f>IF(AND(Syst.="Reloaded",Primes&lt;Atouts!E128),"",A128)</f>
        <v>Erudit</v>
      </c>
      <c r="C128" s="238" t="s">
        <v>3749</v>
      </c>
      <c r="D128" s="238" t="s">
        <v>3754</v>
      </c>
      <c r="E128" s="238">
        <f>VLOOKUP(D128,Tableaux!$BS:$BU,3,FALSE)</f>
        <v>0</v>
      </c>
      <c r="F128" s="238">
        <v>2</v>
      </c>
      <c r="G128" s="243" t="s">
        <v>3457</v>
      </c>
      <c r="H128" s="68" t="s">
        <v>3458</v>
      </c>
      <c r="I128" s="68" t="s">
        <v>3458</v>
      </c>
      <c r="J128" s="242" t="s">
        <v>3168</v>
      </c>
      <c r="K128" s="238" t="s">
        <v>3454</v>
      </c>
    </row>
    <row r="129" spans="1:11" ht="30.6" customHeight="1" x14ac:dyDescent="0.3">
      <c r="A129" s="240" t="s">
        <v>4697</v>
      </c>
      <c r="B129" s="240" t="str">
        <f>IF(OR(OR(Illumination=FALSE,déIntellect&lt;8),(AND(Syst.="Reloaded",Primes&lt;Atouts!E129))),"",A129)</f>
        <v/>
      </c>
      <c r="C129" s="238" t="s">
        <v>3743</v>
      </c>
      <c r="D129" s="238" t="s">
        <v>3752</v>
      </c>
      <c r="E129" s="238">
        <f>VLOOKUP(D129,Tableaux!$BS:$BU,3,FALSE)</f>
        <v>40</v>
      </c>
      <c r="F129" s="238">
        <v>4</v>
      </c>
      <c r="G129" s="243" t="s">
        <v>4729</v>
      </c>
      <c r="H129" s="68" t="s">
        <v>4700</v>
      </c>
      <c r="I129" s="68" t="s">
        <v>4699</v>
      </c>
      <c r="J129" s="242" t="s">
        <v>3168</v>
      </c>
      <c r="K129" s="238" t="s">
        <v>4671</v>
      </c>
    </row>
    <row r="130" spans="1:11" ht="24" customHeight="1" x14ac:dyDescent="0.3">
      <c r="A130" s="240" t="str">
        <f>IF(SexePerso="Féminin","Esprit Protecteur/Créatrice de fétiche (faible)",IF('Perso Reloaded'!$C$6="Féminin","Esprit Protecteur/Créatrice de fétiche (faible)","Esprit Protecteur/Créateur de fétiche (faible)"))</f>
        <v>Esprit Protecteur/Créateur de fétiche (faible)</v>
      </c>
      <c r="B130" s="240" t="str">
        <f>IF(OR(OR(chaman=FALSE,déAme&lt;8),(AND(Syst.="Reloaded",Primes&lt;Atouts!E130))),"",A130)</f>
        <v/>
      </c>
      <c r="C130" s="238" t="s">
        <v>3748</v>
      </c>
      <c r="D130" s="238" t="s">
        <v>3754</v>
      </c>
      <c r="E130" s="238">
        <f>VLOOKUP(D130,Tableaux!$BS:$BU,3,FALSE)</f>
        <v>0</v>
      </c>
      <c r="F130" s="238">
        <v>2</v>
      </c>
      <c r="G130" s="243" t="s">
        <v>3867</v>
      </c>
      <c r="H130" s="67" t="s">
        <v>1031</v>
      </c>
      <c r="I130" s="67" t="s">
        <v>3819</v>
      </c>
      <c r="J130" s="238" t="s">
        <v>1015</v>
      </c>
      <c r="K130" s="238" t="s">
        <v>3486</v>
      </c>
    </row>
    <row r="131" spans="1:11" ht="24" customHeight="1" x14ac:dyDescent="0.3">
      <c r="A131" s="240" t="str">
        <f>IF(SexePerso="Féminin","Esprit Protecteur/Créatrice de fétiche (forte)",IF('Perso Reloaded'!$C$6="Féminin","Esprit Protecteur/Créatrice de fétiche (forte)","Esprit Protecteur/Créateur de fétiche (fort)"))</f>
        <v>Esprit Protecteur/Créateur de fétiche (fort)</v>
      </c>
      <c r="B131" s="240" t="str">
        <f>IF(OR(OR(chaman=FALSE,déAme&lt;8),(AND(Syst.="Reloaded",Primes&lt;Atouts!E131))),"",A131)</f>
        <v/>
      </c>
      <c r="C131" s="238" t="s">
        <v>3748</v>
      </c>
      <c r="D131" s="238" t="s">
        <v>3753</v>
      </c>
      <c r="E131" s="238">
        <f>VLOOKUP(D131,Tableaux!$BS:$BU,3,FALSE)</f>
        <v>60</v>
      </c>
      <c r="F131" s="238">
        <v>4</v>
      </c>
      <c r="G131" s="243" t="s">
        <v>3867</v>
      </c>
      <c r="H131" s="67" t="s">
        <v>1032</v>
      </c>
      <c r="I131" s="67" t="s">
        <v>3820</v>
      </c>
      <c r="J131" s="238" t="s">
        <v>1015</v>
      </c>
      <c r="K131" s="238" t="s">
        <v>3487</v>
      </c>
    </row>
    <row r="132" spans="1:11" ht="24" customHeight="1" x14ac:dyDescent="0.3">
      <c r="A132" s="240" t="str">
        <f>IF(SexePerso="Féminin","Esprit Protecteur/Créatrice de fétiche (moyenne)",IF('Perso Reloaded'!$C$6="Féminin","Esprit Protecteur/Créatrice de fétiche (moyenne)","Esprit Protecteur/Créateur de fétiche (moyen)"))</f>
        <v>Esprit Protecteur/Créateur de fétiche (moyen)</v>
      </c>
      <c r="B132" s="240" t="str">
        <f>IF(OR(OR(chaman=FALSE,déAme&lt;8),(AND(Syst.="Reloaded",Primes&lt;Atouts!E132))),"",A132)</f>
        <v/>
      </c>
      <c r="C132" s="238" t="s">
        <v>3748</v>
      </c>
      <c r="D132" s="238" t="s">
        <v>3752</v>
      </c>
      <c r="E132" s="238">
        <f>VLOOKUP(D132,Tableaux!$BS:$BU,3,FALSE)</f>
        <v>40</v>
      </c>
      <c r="F132" s="238">
        <v>3</v>
      </c>
      <c r="G132" s="243" t="s">
        <v>3485</v>
      </c>
      <c r="H132" s="67" t="s">
        <v>1033</v>
      </c>
      <c r="I132" s="67" t="s">
        <v>3821</v>
      </c>
      <c r="J132" s="238" t="s">
        <v>1015</v>
      </c>
      <c r="K132" s="238" t="s">
        <v>3488</v>
      </c>
    </row>
    <row r="133" spans="1:11" ht="24" customHeight="1" x14ac:dyDescent="0.3">
      <c r="A133" s="240" t="str">
        <f>IF(SexePerso="Féminin","Esprit Protecteur/Créatrice de fétiche (très faible)",IF('Perso Reloaded'!$C$6="Féminin","Esprit Protecteur/Créatrice de fétiche (très faible)","Esprit Protecteur/Créateur de fétiche (très faible)"))</f>
        <v>Esprit Protecteur/Créateur de fétiche (très faible)</v>
      </c>
      <c r="B133" s="240" t="str">
        <f>IF(OR(OR(chaman=FALSE,déAme&lt;8),(AND(Syst.="Reloaded",Primes&lt;Atouts!E1207))),"",A133)</f>
        <v/>
      </c>
      <c r="C133" s="238" t="s">
        <v>3748</v>
      </c>
      <c r="D133" s="238" t="s">
        <v>3754</v>
      </c>
      <c r="E133" s="238">
        <f>VLOOKUP(D133,Tableaux!$BS:$BU,3,FALSE)</f>
        <v>0</v>
      </c>
      <c r="F133" s="238">
        <v>1</v>
      </c>
      <c r="G133" s="243" t="s">
        <v>3868</v>
      </c>
      <c r="H133" s="67" t="s">
        <v>1030</v>
      </c>
      <c r="I133" s="67" t="s">
        <v>3822</v>
      </c>
      <c r="J133" s="238" t="s">
        <v>1015</v>
      </c>
      <c r="K133" s="238" t="s">
        <v>3489</v>
      </c>
    </row>
    <row r="134" spans="1:11" ht="24" customHeight="1" x14ac:dyDescent="0.3">
      <c r="A134" s="240" t="str">
        <f>IF(SexePerso="Féminin","Esprit Protecteur/Créatrice de fétiche (très forte)",IF('Perso Reloaded'!$C$6="Féminin","Esprit Protecteur/Créatrice de fétiche (très forte)","Esprit Protecteur/Créateur de fétiche (très fort)"))</f>
        <v>Esprit Protecteur/Créateur de fétiche (très fort)</v>
      </c>
      <c r="B134" s="240" t="str">
        <f>IF(OR(OR(chaman=FALSE,déAme&lt;8),(AND(Syst.="Reloaded",Primes&lt;Atouts!E134))),"",A134)</f>
        <v/>
      </c>
      <c r="C134" s="238" t="s">
        <v>3748</v>
      </c>
      <c r="D134" s="238" t="s">
        <v>2913</v>
      </c>
      <c r="E134" s="238">
        <f>VLOOKUP(D134,Tableaux!$BS:$BU,3,FALSE)</f>
        <v>80</v>
      </c>
      <c r="F134" s="238">
        <v>5</v>
      </c>
      <c r="G134" s="243" t="s">
        <v>3869</v>
      </c>
      <c r="H134" s="67" t="s">
        <v>1034</v>
      </c>
      <c r="I134" s="67" t="s">
        <v>3823</v>
      </c>
      <c r="J134" s="238" t="s">
        <v>1015</v>
      </c>
      <c r="K134" s="238" t="s">
        <v>3490</v>
      </c>
    </row>
    <row r="135" spans="1:11" ht="24" customHeight="1" x14ac:dyDescent="0.3">
      <c r="A135" s="240" t="s">
        <v>4825</v>
      </c>
      <c r="B135" s="240" t="str">
        <f>IF(OR(OR(chaman=FALSE,déAme&lt;8),(AND(Syst.="Reloaded",Primes&lt;Atouts!E135))),"",A135)</f>
        <v/>
      </c>
      <c r="C135" s="238" t="s">
        <v>3745</v>
      </c>
      <c r="D135" s="238" t="s">
        <v>3754</v>
      </c>
      <c r="E135" s="238">
        <f>VLOOKUP(D135,Tableaux!$BS:$BU,3,FALSE)</f>
        <v>0</v>
      </c>
      <c r="G135" s="243" t="s">
        <v>4826</v>
      </c>
      <c r="H135" s="67" t="s">
        <v>4828</v>
      </c>
      <c r="I135" s="67" t="s">
        <v>4827</v>
      </c>
      <c r="J135" s="242" t="s">
        <v>3168</v>
      </c>
      <c r="K135" s="238" t="s">
        <v>4824</v>
      </c>
    </row>
    <row r="136" spans="1:11" ht="24" customHeight="1" x14ac:dyDescent="0.3">
      <c r="A136" s="240" t="str">
        <f>IF(SexePerso="Féminin","Esprit vif/Vive",IF('Perso Reloaded'!$C$6="Féminin","Esprit vif/Vive","Esprit vif/Vif"))</f>
        <v>Esprit vif/Vif</v>
      </c>
      <c r="B136" s="240" t="str">
        <f>IF(OR(OR(déAgilité&lt;8),(AND(Syst.="Reloaded",Primes&lt;Atouts!E136))),"",A136)</f>
        <v/>
      </c>
      <c r="C136" s="238" t="s">
        <v>3755</v>
      </c>
      <c r="D136" s="238" t="s">
        <v>3754</v>
      </c>
      <c r="E136" s="238">
        <f>VLOOKUP(D136,Tableaux!$BS:$BU,3,FALSE)</f>
        <v>0</v>
      </c>
      <c r="F136" s="238">
        <v>2</v>
      </c>
      <c r="G136" s="243" t="s">
        <v>3157</v>
      </c>
      <c r="H136" s="67" t="s">
        <v>1036</v>
      </c>
      <c r="I136" s="67" t="s">
        <v>3207</v>
      </c>
      <c r="J136" s="238" t="s">
        <v>1035</v>
      </c>
      <c r="K136" s="238" t="s">
        <v>3208</v>
      </c>
    </row>
    <row r="137" spans="1:11" ht="24" customHeight="1" x14ac:dyDescent="0.3">
      <c r="A137" s="240" t="s">
        <v>3251</v>
      </c>
      <c r="B137" s="240" t="str">
        <f>IF(OR(OR(déAgilité&lt;8),(AND(Syst.="Reloaded",Primes&lt;Atouts!E137))),"",A137)</f>
        <v/>
      </c>
      <c r="C137" s="238" t="s">
        <v>3743</v>
      </c>
      <c r="D137" s="238" t="s">
        <v>3751</v>
      </c>
      <c r="E137" s="238">
        <f>VLOOKUP(D137,Tableaux!$BS:$BU,3,FALSE)</f>
        <v>20</v>
      </c>
      <c r="F137" s="238">
        <v>2</v>
      </c>
      <c r="G137" s="243" t="s">
        <v>3157</v>
      </c>
      <c r="H137" s="67" t="s">
        <v>3253</v>
      </c>
      <c r="I137" s="67" t="s">
        <v>3253</v>
      </c>
      <c r="J137" s="242" t="s">
        <v>3168</v>
      </c>
      <c r="K137" s="238" t="s">
        <v>3229</v>
      </c>
    </row>
    <row r="138" spans="1:11" ht="24" customHeight="1" x14ac:dyDescent="0.3">
      <c r="A138" s="240" t="s">
        <v>3252</v>
      </c>
      <c r="B138" s="240" t="str">
        <f>IF(OR(OR(esquive=FALSE),(AND(Syst.="Reloaded",Primes&lt;Atouts!E138))),"",A138)</f>
        <v/>
      </c>
      <c r="C138" s="238" t="s">
        <v>3743</v>
      </c>
      <c r="D138" s="238" t="s">
        <v>3752</v>
      </c>
      <c r="E138" s="238">
        <f>VLOOKUP(D138,Tableaux!$BS:$BU,3,FALSE)</f>
        <v>40</v>
      </c>
      <c r="F138" s="238">
        <v>4</v>
      </c>
      <c r="G138" s="243" t="s">
        <v>3251</v>
      </c>
      <c r="H138" s="67" t="s">
        <v>3254</v>
      </c>
      <c r="I138" s="67" t="s">
        <v>3254</v>
      </c>
      <c r="J138" s="242" t="s">
        <v>3168</v>
      </c>
      <c r="K138" s="238" t="s">
        <v>3232</v>
      </c>
    </row>
    <row r="139" spans="1:11" ht="24" customHeight="1" x14ac:dyDescent="0.3">
      <c r="A139" s="240" t="s">
        <v>1037</v>
      </c>
      <c r="B139" s="240" t="str">
        <f>IF(AND(Syst.="Reloaded",Primes&lt;Atouts!E139),"",A139)</f>
        <v/>
      </c>
      <c r="C139" s="238" t="s">
        <v>3743</v>
      </c>
      <c r="D139" s="238" t="s">
        <v>3752</v>
      </c>
      <c r="E139" s="238">
        <f>VLOOKUP(D139,Tableaux!$BS:$BU,3,FALSE)</f>
        <v>40</v>
      </c>
      <c r="F139" s="238">
        <v>4</v>
      </c>
      <c r="G139" s="399" t="s">
        <v>3168</v>
      </c>
      <c r="H139" s="67" t="s">
        <v>1038</v>
      </c>
      <c r="I139" s="67" t="s">
        <v>3573</v>
      </c>
      <c r="J139" s="238" t="s">
        <v>3575</v>
      </c>
      <c r="K139" s="238" t="s">
        <v>3574</v>
      </c>
    </row>
    <row r="140" spans="1:11" ht="24" customHeight="1" x14ac:dyDescent="0.3">
      <c r="A140" s="240" t="s">
        <v>4829</v>
      </c>
      <c r="B140" s="240" t="str">
        <f>IF(OR(OR(DàC=FALSE),(AND(Syst.="Reloaded",Primes&lt;Atouts!E140))),"",A140)</f>
        <v/>
      </c>
      <c r="C140" s="238" t="s">
        <v>3745</v>
      </c>
      <c r="D140" s="238" t="s">
        <v>3752</v>
      </c>
      <c r="E140" s="238">
        <f>VLOOKUP(D140,Tableaux!$BS:$BU,3,FALSE)</f>
        <v>40</v>
      </c>
      <c r="F140" s="238">
        <v>4</v>
      </c>
      <c r="G140" s="399" t="s">
        <v>4830</v>
      </c>
      <c r="H140" s="67" t="s">
        <v>1040</v>
      </c>
      <c r="I140" s="67" t="s">
        <v>4831</v>
      </c>
      <c r="J140" s="238" t="s">
        <v>1039</v>
      </c>
      <c r="K140" s="242" t="s">
        <v>4832</v>
      </c>
    </row>
    <row r="141" spans="1:11" ht="24" customHeight="1" x14ac:dyDescent="0.3">
      <c r="A141" s="240" t="s">
        <v>3515</v>
      </c>
      <c r="B141" s="240" t="str">
        <f>IF(OR(OR(sciencefolle=FALSE),(AND(Syst.="Reloaded",Primes&lt;Atouts!E141))),"",A141)</f>
        <v/>
      </c>
      <c r="C141" s="238" t="s">
        <v>3748</v>
      </c>
      <c r="D141" s="238" t="s">
        <v>2913</v>
      </c>
      <c r="E141" s="238">
        <f>VLOOKUP(D141,Tableaux!$BS:$BU,3,FALSE)</f>
        <v>80</v>
      </c>
      <c r="F141" s="238">
        <v>7</v>
      </c>
      <c r="G141" s="243" t="s">
        <v>3516</v>
      </c>
      <c r="H141" s="67" t="s">
        <v>3517</v>
      </c>
      <c r="I141" s="67" t="s">
        <v>3796</v>
      </c>
      <c r="J141" s="67" t="s">
        <v>3518</v>
      </c>
      <c r="K141" s="238" t="s">
        <v>3514</v>
      </c>
    </row>
    <row r="142" spans="1:11" ht="24" customHeight="1" x14ac:dyDescent="0.3">
      <c r="A142" s="240" t="str">
        <f>IF(SexePerso="Féminin","Experte",IF('Perso Reloaded'!$C$6="Féminin","Experte","Expert"))</f>
        <v>Expert</v>
      </c>
      <c r="B142" s="240" t="str">
        <f>IF(OR(OR(Professionnel=FALSE),(AND(Syst.="Reloaded",Primes&lt;Atouts!E142))),"",A142)</f>
        <v/>
      </c>
      <c r="C142" s="238" t="s">
        <v>3747</v>
      </c>
      <c r="D142" s="238" t="s">
        <v>2913</v>
      </c>
      <c r="E142" s="238">
        <f>VLOOKUP(D142,Tableaux!$BS:$BU,3,FALSE)</f>
        <v>80</v>
      </c>
      <c r="F142" s="238">
        <v>5</v>
      </c>
      <c r="G142" s="243" t="s">
        <v>3384</v>
      </c>
      <c r="H142" s="67" t="s">
        <v>3385</v>
      </c>
      <c r="I142" s="67" t="s">
        <v>3385</v>
      </c>
      <c r="J142" s="242" t="s">
        <v>3168</v>
      </c>
      <c r="K142" s="238" t="s">
        <v>3392</v>
      </c>
    </row>
    <row r="143" spans="1:11" ht="24" customHeight="1" x14ac:dyDescent="0.3">
      <c r="A143" s="240" t="s">
        <v>3255</v>
      </c>
      <c r="B143" s="240" t="str">
        <f>IF(AND(Syst.="Reloaded",Primes&lt;Atouts!E143),"",A143)</f>
        <v>Extraction</v>
      </c>
      <c r="C143" s="238" t="s">
        <v>3743</v>
      </c>
      <c r="D143" s="238" t="s">
        <v>3754</v>
      </c>
      <c r="E143" s="238">
        <f>VLOOKUP(D143,Tableaux!$BS:$BU,3,FALSE)</f>
        <v>0</v>
      </c>
      <c r="F143" s="238">
        <v>1</v>
      </c>
      <c r="H143" s="67" t="s">
        <v>3347</v>
      </c>
      <c r="I143" s="67" t="s">
        <v>3257</v>
      </c>
      <c r="J143" s="242" t="s">
        <v>3168</v>
      </c>
      <c r="K143" s="238" t="s">
        <v>3232</v>
      </c>
    </row>
    <row r="144" spans="1:11" ht="24" customHeight="1" x14ac:dyDescent="0.3">
      <c r="A144" s="240" t="s">
        <v>3256</v>
      </c>
      <c r="B144" s="240" t="str">
        <f>IF(AND(Syst.="Reloaded",Primes&lt;Atouts!E144),"",A144)</f>
        <v>Extraction (Grande)</v>
      </c>
      <c r="C144" s="238" t="s">
        <v>3743</v>
      </c>
      <c r="D144" s="238" t="s">
        <v>3754</v>
      </c>
      <c r="E144" s="238">
        <f>VLOOKUP(D144,Tableaux!$BS:$BU,3,FALSE)</f>
        <v>0</v>
      </c>
      <c r="F144" s="238">
        <v>3</v>
      </c>
      <c r="G144" s="243" t="s">
        <v>3255</v>
      </c>
      <c r="H144" s="67" t="s">
        <v>3348</v>
      </c>
      <c r="I144" s="67" t="s">
        <v>3824</v>
      </c>
      <c r="J144" s="242" t="s">
        <v>3168</v>
      </c>
      <c r="K144" s="238" t="s">
        <v>3232</v>
      </c>
    </row>
    <row r="145" spans="1:11" ht="33.75" customHeight="1" x14ac:dyDescent="0.3">
      <c r="A145" s="240" t="s">
        <v>3633</v>
      </c>
      <c r="B145" s="240" t="str">
        <f>IF(AND(Syst.="Reloaded",Primes&lt;Atouts!E145),"",A145)</f>
        <v/>
      </c>
      <c r="C145" s="238" t="s">
        <v>3747</v>
      </c>
      <c r="D145" s="238" t="s">
        <v>2913</v>
      </c>
      <c r="E145" s="238">
        <f>VLOOKUP(D145,Tableaux!$BS:$BU,3,FALSE)</f>
        <v>80</v>
      </c>
      <c r="F145" s="238">
        <v>5</v>
      </c>
      <c r="G145" s="243" t="s">
        <v>2996</v>
      </c>
      <c r="H145" s="67" t="s">
        <v>3363</v>
      </c>
      <c r="I145" s="67" t="s">
        <v>3825</v>
      </c>
      <c r="J145" s="238" t="s">
        <v>1090</v>
      </c>
      <c r="K145" s="238" t="s">
        <v>3353</v>
      </c>
    </row>
    <row r="146" spans="1:11" ht="30.6" customHeight="1" x14ac:dyDescent="0.3">
      <c r="A146" s="240" t="s">
        <v>5077</v>
      </c>
      <c r="B146" s="240" t="str">
        <f>IF(AND(Syst.="Reloaded",Primes&lt;Atouts!E146),"",A146)</f>
        <v>Fais pas chier/ Ne l'énerve surtout pas!</v>
      </c>
      <c r="C146" s="238" t="s">
        <v>3743</v>
      </c>
      <c r="D146" s="238" t="s">
        <v>3754</v>
      </c>
      <c r="E146" s="238">
        <f>VLOOKUP(D146,Tableaux!$BS:$BU,3,FALSE)</f>
        <v>0</v>
      </c>
      <c r="F146" s="238">
        <v>2</v>
      </c>
      <c r="G146" s="399" t="s">
        <v>2996</v>
      </c>
      <c r="H146" s="68" t="s">
        <v>4429</v>
      </c>
      <c r="I146" s="67" t="s">
        <v>3258</v>
      </c>
      <c r="J146" s="238" t="s">
        <v>1041</v>
      </c>
      <c r="K146" s="242" t="s">
        <v>5078</v>
      </c>
    </row>
    <row r="147" spans="1:11" ht="24" customHeight="1" x14ac:dyDescent="0.3">
      <c r="A147" s="240" t="s">
        <v>268</v>
      </c>
      <c r="B147" s="240" t="str">
        <f>IF(OR(OR(occulte=FALSE),(AND(Syst.="Reloaded",Primes&lt;Atouts!E147))),"",A147)</f>
        <v/>
      </c>
      <c r="C147" s="238" t="s">
        <v>3748</v>
      </c>
      <c r="D147" s="238" t="s">
        <v>3754</v>
      </c>
      <c r="E147" s="238">
        <f>VLOOKUP(D147,Tableaux!$BS:$BU,3,FALSE)</f>
        <v>0</v>
      </c>
      <c r="F147" s="238">
        <v>5</v>
      </c>
      <c r="G147" s="243" t="s">
        <v>1720</v>
      </c>
      <c r="H147" s="67" t="s">
        <v>4260</v>
      </c>
      <c r="I147" s="67" t="s">
        <v>4260</v>
      </c>
      <c r="J147" s="238" t="s">
        <v>1042</v>
      </c>
      <c r="K147" s="68" t="s">
        <v>3168</v>
      </c>
    </row>
    <row r="148" spans="1:11" ht="27.6" customHeight="1" x14ac:dyDescent="0.3">
      <c r="A148" s="240" t="s">
        <v>5171</v>
      </c>
      <c r="B148" s="240" t="str">
        <f>IF(OR(AND(Détérré=TRUE),(AND(Syst.="Reloaded",Primes&gt;Atouts!E148))),A148,"")</f>
        <v/>
      </c>
      <c r="C148" s="238" t="s">
        <v>3745</v>
      </c>
      <c r="D148" s="238" t="s">
        <v>3753</v>
      </c>
      <c r="E148" s="238">
        <f>VLOOKUP(D148,Tableaux!$BS:$BU,3,FALSE)</f>
        <v>60</v>
      </c>
      <c r="F148" s="238">
        <v>5</v>
      </c>
      <c r="G148" s="243" t="s">
        <v>307</v>
      </c>
      <c r="H148" s="67" t="s">
        <v>5199</v>
      </c>
      <c r="I148" s="67" t="s">
        <v>5201</v>
      </c>
      <c r="J148" s="242" t="s">
        <v>3168</v>
      </c>
      <c r="K148" s="242" t="s">
        <v>5083</v>
      </c>
    </row>
    <row r="149" spans="1:11" ht="24" customHeight="1" x14ac:dyDescent="0.3">
      <c r="A149" s="240" t="s">
        <v>3634</v>
      </c>
      <c r="B149" s="240" t="str">
        <f>IF(OR(OR(EthniePerso&lt;&gt;"Indien",chaman=FALSE),(AND(Syst.="Reloaded",Primes&lt;Atouts!E149))),"",A149)</f>
        <v/>
      </c>
      <c r="C149" s="238" t="s">
        <v>3748</v>
      </c>
      <c r="D149" s="238" t="s">
        <v>3751</v>
      </c>
      <c r="E149" s="238">
        <f>VLOOKUP(D149,Tableaux!$BS:$BU,3,FALSE)</f>
        <v>20</v>
      </c>
      <c r="F149" s="238">
        <v>3</v>
      </c>
      <c r="G149" s="243" t="s">
        <v>3502</v>
      </c>
      <c r="H149" s="67" t="s">
        <v>3870</v>
      </c>
      <c r="I149" s="67" t="s">
        <v>3826</v>
      </c>
      <c r="J149" s="68" t="s">
        <v>3168</v>
      </c>
      <c r="K149" s="238" t="s">
        <v>3486</v>
      </c>
    </row>
    <row r="150" spans="1:11" ht="43.8" customHeight="1" x14ac:dyDescent="0.3">
      <c r="A150" s="240" t="s">
        <v>5066</v>
      </c>
      <c r="B150" s="240" t="s">
        <v>5066</v>
      </c>
      <c r="C150" s="238" t="s">
        <v>3745</v>
      </c>
      <c r="D150" s="238" t="s">
        <v>3754</v>
      </c>
      <c r="E150" s="238">
        <f>VLOOKUP(D150,Tableaux!$BS:$BU,3,FALSE)</f>
        <v>0</v>
      </c>
      <c r="F150" s="238">
        <v>1</v>
      </c>
      <c r="G150" s="399" t="s">
        <v>3168</v>
      </c>
      <c r="H150" s="67" t="s">
        <v>5068</v>
      </c>
      <c r="I150" s="67" t="s">
        <v>5067</v>
      </c>
      <c r="J150" s="68" t="s">
        <v>3168</v>
      </c>
      <c r="K150" s="238" t="s">
        <v>5069</v>
      </c>
    </row>
    <row r="151" spans="1:11" ht="24" customHeight="1" x14ac:dyDescent="0.3">
      <c r="A151" s="240" t="s">
        <v>3313</v>
      </c>
      <c r="B151" s="240" t="str">
        <f>IF(OR(OR(Cmd=FALSE,déAme&lt;8),(AND(Syst.="Reloaded",Primes&lt;Atouts!E151))),"",A151)</f>
        <v/>
      </c>
      <c r="C151" s="238" t="s">
        <v>3744</v>
      </c>
      <c r="D151" s="238" t="s">
        <v>3752</v>
      </c>
      <c r="E151" s="238">
        <f>VLOOKUP(D151,Tableaux!$BS:$BU,3,FALSE)</f>
        <v>40</v>
      </c>
      <c r="F151" s="238">
        <v>5</v>
      </c>
      <c r="G151" s="243" t="s">
        <v>3314</v>
      </c>
      <c r="H151" s="67" t="s">
        <v>3315</v>
      </c>
      <c r="I151" s="67" t="s">
        <v>3315</v>
      </c>
      <c r="J151" s="242" t="s">
        <v>3168</v>
      </c>
      <c r="K151" s="238" t="s">
        <v>3298</v>
      </c>
    </row>
    <row r="152" spans="1:11" ht="36" customHeight="1" x14ac:dyDescent="0.3">
      <c r="A152" s="240" t="s">
        <v>3558</v>
      </c>
      <c r="B152" s="240" t="str">
        <f>IF(OR(AND(Détérré=TRUE),(AND(Syst.="Reloaded",Primes&gt;Atouts!E152))),A152,"")</f>
        <v/>
      </c>
      <c r="C152" s="238" t="s">
        <v>3745</v>
      </c>
      <c r="D152" s="238" t="s">
        <v>3752</v>
      </c>
      <c r="E152" s="238">
        <f>VLOOKUP(D152,Tableaux!$BS:$BU,3,FALSE)</f>
        <v>40</v>
      </c>
      <c r="F152" s="238">
        <v>5</v>
      </c>
      <c r="G152" s="243" t="s">
        <v>307</v>
      </c>
      <c r="H152" s="67" t="s">
        <v>5226</v>
      </c>
      <c r="I152" s="67" t="s">
        <v>5235</v>
      </c>
      <c r="J152" s="242" t="s">
        <v>3168</v>
      </c>
      <c r="K152" s="242" t="s">
        <v>4116</v>
      </c>
    </row>
    <row r="153" spans="1:11" ht="24" customHeight="1" x14ac:dyDescent="0.3">
      <c r="A153" s="240" t="str">
        <f>IF(SexePerso="Féminin","Flambeuse",IF('Perso Reloaded'!$C$6="Féminin","Flambeuse","Flambeur"))</f>
        <v>Flambeur</v>
      </c>
      <c r="B153" s="240" t="str">
        <f>IF(OR(OR(occulte=FALSE),(AND(Syst.="Reloaded",Primes&lt;Atouts!E153))),"",A153)</f>
        <v/>
      </c>
      <c r="C153" s="238" t="s">
        <v>3748</v>
      </c>
      <c r="D153" s="238" t="s">
        <v>3751</v>
      </c>
      <c r="E153" s="238">
        <f>VLOOKUP(D153,Tableaux!$BS:$BU,3,FALSE)</f>
        <v>20</v>
      </c>
      <c r="F153" s="238">
        <v>3</v>
      </c>
      <c r="G153" s="243" t="s">
        <v>3508</v>
      </c>
      <c r="H153" s="67" t="s">
        <v>3509</v>
      </c>
      <c r="I153" s="67" t="s">
        <v>3509</v>
      </c>
      <c r="J153" s="242" t="s">
        <v>3168</v>
      </c>
      <c r="K153" s="238" t="s">
        <v>3498</v>
      </c>
    </row>
    <row r="154" spans="1:11" ht="24" customHeight="1" x14ac:dyDescent="0.3">
      <c r="A154" s="240" t="str">
        <f>IF(SexePerso="Féminin","Flambeuse (grosse)",IF('Perso Reloaded'!$C$6="Féminin","Flambeuse (grosse)","Flambeur (gros)"))</f>
        <v>Flambeur (gros)</v>
      </c>
      <c r="B154" s="240" t="str">
        <f>IF(OR(OR(flambeur=FALSE),(AND(Syst.="Reloaded",Primes&lt;Atouts!E154))),"",A154)</f>
        <v/>
      </c>
      <c r="C154" s="238" t="s">
        <v>3748</v>
      </c>
      <c r="D154" s="238" t="s">
        <v>3752</v>
      </c>
      <c r="E154" s="238">
        <f>VLOOKUP(D154,Tableaux!$BS:$BU,3,FALSE)</f>
        <v>40</v>
      </c>
      <c r="F154" s="238">
        <v>5</v>
      </c>
      <c r="G154" s="243" t="s">
        <v>3507</v>
      </c>
      <c r="H154" s="67" t="s">
        <v>3510</v>
      </c>
      <c r="I154" s="67" t="s">
        <v>3510</v>
      </c>
      <c r="J154" s="242" t="s">
        <v>3168</v>
      </c>
      <c r="K154" s="238" t="s">
        <v>3498</v>
      </c>
    </row>
    <row r="155" spans="1:11" ht="24" customHeight="1" x14ac:dyDescent="0.3">
      <c r="A155" s="240" t="s">
        <v>3259</v>
      </c>
      <c r="B155" s="240" t="str">
        <f>IF(OR(OR(déAgilité&lt;8),(AND(Syst.="Reloaded",Primes&lt;Atouts!E155))),"",A155)</f>
        <v/>
      </c>
      <c r="C155" s="238" t="s">
        <v>3743</v>
      </c>
      <c r="D155" s="238" t="s">
        <v>3754</v>
      </c>
      <c r="E155" s="238">
        <f>VLOOKUP(D155,Tableaux!$BS:$BU,3,FALSE)</f>
        <v>0</v>
      </c>
      <c r="F155" s="238">
        <v>2</v>
      </c>
      <c r="G155" s="243" t="s">
        <v>3260</v>
      </c>
      <c r="H155" s="67" t="s">
        <v>3262</v>
      </c>
      <c r="I155" s="67" t="s">
        <v>3261</v>
      </c>
      <c r="J155" s="242" t="s">
        <v>3168</v>
      </c>
      <c r="K155" s="238" t="s">
        <v>3232</v>
      </c>
    </row>
    <row r="156" spans="1:11" ht="24" customHeight="1" x14ac:dyDescent="0.3">
      <c r="A156" s="240" t="s">
        <v>4672</v>
      </c>
      <c r="B156" s="240" t="str">
        <f>IF(OR(OR(Illumination=FALSE,déForce&lt;8),(AND(Syst.="Reloaded",Primes&lt;Atouts!E156))),"",A156)</f>
        <v/>
      </c>
      <c r="C156" s="238" t="s">
        <v>3748</v>
      </c>
      <c r="D156" s="238" t="s">
        <v>3751</v>
      </c>
      <c r="E156" s="238">
        <f>VLOOKUP(D156,Tableaux!$BS:$BU,3,FALSE)</f>
        <v>20</v>
      </c>
      <c r="F156" s="238">
        <v>3</v>
      </c>
      <c r="G156" s="243" t="s">
        <v>4684</v>
      </c>
      <c r="H156" s="67" t="s">
        <v>4673</v>
      </c>
      <c r="I156" s="67" t="s">
        <v>4673</v>
      </c>
      <c r="J156" s="242" t="s">
        <v>3168</v>
      </c>
      <c r="K156" s="238" t="s">
        <v>4671</v>
      </c>
    </row>
    <row r="157" spans="1:11" ht="24" customHeight="1" x14ac:dyDescent="0.3">
      <c r="A157" s="240" t="s">
        <v>4725</v>
      </c>
      <c r="B157" s="240" t="str">
        <f>IF(OR(OR(Fec=FALSE,déAgilité&lt;8),(AND(Syst.="Reloaded",Primes&lt;Atouts!E157))),"",A157)</f>
        <v/>
      </c>
      <c r="C157" s="238" t="s">
        <v>3743</v>
      </c>
      <c r="D157" s="238" t="s">
        <v>3754</v>
      </c>
      <c r="E157" s="238">
        <f>VLOOKUP(D157,Tableaux!$BS:$BU,3,FALSE)</f>
        <v>0</v>
      </c>
      <c r="F157" s="238">
        <v>1</v>
      </c>
      <c r="G157" s="243" t="s">
        <v>4727</v>
      </c>
      <c r="H157" s="67" t="s">
        <v>4918</v>
      </c>
      <c r="I157" s="67" t="s">
        <v>4918</v>
      </c>
      <c r="J157" s="242" t="s">
        <v>3168</v>
      </c>
      <c r="K157" s="238" t="s">
        <v>4695</v>
      </c>
    </row>
    <row r="158" spans="1:11" ht="24" customHeight="1" x14ac:dyDescent="0.3">
      <c r="A158" s="240" t="s">
        <v>3263</v>
      </c>
      <c r="B158" s="240" t="str">
        <f>IF(OR(OR(déAgilité&lt;8),(AND(Syst.="Reloaded",Primes&lt;Atouts!E158))),"",A158)</f>
        <v/>
      </c>
      <c r="C158" s="238" t="s">
        <v>3743</v>
      </c>
      <c r="D158" s="238" t="s">
        <v>3754</v>
      </c>
      <c r="E158" s="238">
        <f>VLOOKUP(D158,Tableaux!$BS:$BU,3,FALSE)</f>
        <v>0</v>
      </c>
      <c r="F158" s="238">
        <v>1</v>
      </c>
      <c r="G158" s="243" t="s">
        <v>3157</v>
      </c>
      <c r="H158" s="67" t="s">
        <v>3265</v>
      </c>
      <c r="I158" s="67" t="s">
        <v>3827</v>
      </c>
      <c r="J158" s="242" t="s">
        <v>3168</v>
      </c>
      <c r="K158" s="238" t="s">
        <v>3232</v>
      </c>
    </row>
    <row r="159" spans="1:11" ht="24" customHeight="1" x14ac:dyDescent="0.3">
      <c r="A159" s="240" t="s">
        <v>3264</v>
      </c>
      <c r="B159" s="240" t="str">
        <f>IF(OR(OR(Fec=FALSE),(AND(Syst.="Reloaded",Primes&lt;Atouts!E159))),"",A159)</f>
        <v/>
      </c>
      <c r="C159" s="238" t="s">
        <v>3743</v>
      </c>
      <c r="D159" s="238" t="s">
        <v>3753</v>
      </c>
      <c r="E159" s="238">
        <f>VLOOKUP(D159,Tableaux!$BS:$BU,3,FALSE)</f>
        <v>60</v>
      </c>
      <c r="F159" s="238">
        <v>5</v>
      </c>
      <c r="G159" s="243" t="s">
        <v>3263</v>
      </c>
      <c r="H159" s="67" t="s">
        <v>3266</v>
      </c>
      <c r="I159" s="67" t="s">
        <v>3828</v>
      </c>
      <c r="J159" s="242" t="s">
        <v>3168</v>
      </c>
      <c r="K159" s="238" t="s">
        <v>3232</v>
      </c>
    </row>
    <row r="160" spans="1:11" ht="24" customHeight="1" x14ac:dyDescent="0.3">
      <c r="A160" s="240" t="s">
        <v>3272</v>
      </c>
      <c r="B160" s="240" t="str">
        <f>IF(AND(Syst.="Reloaded",Primes&lt;Atouts!E160),"",A160)</f>
        <v/>
      </c>
      <c r="C160" s="238" t="s">
        <v>3743</v>
      </c>
      <c r="D160" s="238" t="s">
        <v>3751</v>
      </c>
      <c r="E160" s="238">
        <f>VLOOKUP(D160,Tableaux!$BS:$BU,3,FALSE)</f>
        <v>20</v>
      </c>
      <c r="F160" s="238">
        <v>3</v>
      </c>
      <c r="G160" s="243" t="s">
        <v>3274</v>
      </c>
      <c r="H160" s="67" t="s">
        <v>3335</v>
      </c>
      <c r="I160" s="67" t="s">
        <v>3275</v>
      </c>
      <c r="J160" s="242" t="s">
        <v>3168</v>
      </c>
      <c r="K160" s="238" t="s">
        <v>3271</v>
      </c>
    </row>
    <row r="161" spans="1:11" ht="24" customHeight="1" x14ac:dyDescent="0.3">
      <c r="A161" s="240" t="s">
        <v>3273</v>
      </c>
      <c r="B161" s="240" t="str">
        <f>IF(OR(OR(frénésie=FALSE),(AND(Syst.="Reloaded",Primes&lt;Atouts!E161))),"",A161)</f>
        <v/>
      </c>
      <c r="C161" s="238" t="s">
        <v>3743</v>
      </c>
      <c r="D161" s="238" t="s">
        <v>3752</v>
      </c>
      <c r="E161" s="238">
        <f>VLOOKUP(D161,Tableaux!$BS:$BU,3,FALSE)</f>
        <v>40</v>
      </c>
      <c r="F161" s="238">
        <v>5</v>
      </c>
      <c r="G161" s="243" t="s">
        <v>3272</v>
      </c>
      <c r="H161" s="67" t="s">
        <v>3334</v>
      </c>
      <c r="I161" s="67" t="s">
        <v>3829</v>
      </c>
      <c r="J161" s="242" t="s">
        <v>3168</v>
      </c>
      <c r="K161" s="238" t="s">
        <v>3271</v>
      </c>
    </row>
    <row r="162" spans="1:11" ht="24" customHeight="1" x14ac:dyDescent="0.3">
      <c r="A162" s="240" t="str">
        <f>IF(OR(SexePerso="Féminin",'Perso Reloaded'!$C$6="Féminin"),"Soeur de Sang/Kemosabe","Frère de Sang/Kemosabe")</f>
        <v>Frère de Sang/Kemosabe</v>
      </c>
      <c r="B162" s="240" t="str">
        <f>IF(AND(Syst.="Reloaded",Primes&lt;Atouts!E162),"",A162)</f>
        <v>Frère de Sang/Kemosabe</v>
      </c>
      <c r="C162" s="238" t="s">
        <v>3750</v>
      </c>
      <c r="D162" s="238" t="s">
        <v>3754</v>
      </c>
      <c r="E162" s="238">
        <f>VLOOKUP(D162,Tableaux!$BS:$BU,3,FALSE)</f>
        <v>0</v>
      </c>
      <c r="F162" s="238">
        <v>2</v>
      </c>
      <c r="G162" s="399" t="s">
        <v>3168</v>
      </c>
      <c r="H162" s="67" t="s">
        <v>3669</v>
      </c>
      <c r="I162" s="67" t="s">
        <v>3669</v>
      </c>
      <c r="J162" s="238" t="s">
        <v>1017</v>
      </c>
      <c r="K162" s="242" t="s">
        <v>3668</v>
      </c>
    </row>
    <row r="163" spans="1:11" ht="45.6" customHeight="1" x14ac:dyDescent="0.3">
      <c r="A163" s="240" t="s">
        <v>3559</v>
      </c>
      <c r="B163" s="240" t="str">
        <f>IF(OR(AND(Détérré=TRUE),(AND(Syst.="Reloaded",Primes&gt;Atouts!E163))),A163,"")</f>
        <v/>
      </c>
      <c r="C163" s="238" t="s">
        <v>3745</v>
      </c>
      <c r="D163" s="238" t="s">
        <v>3752</v>
      </c>
      <c r="E163" s="238">
        <f>VLOOKUP(D163,Tableaux!$BS:$BU,3,FALSE)</f>
        <v>40</v>
      </c>
      <c r="F163" s="238">
        <v>5</v>
      </c>
      <c r="G163" s="243" t="s">
        <v>307</v>
      </c>
      <c r="H163" s="67" t="s">
        <v>5227</v>
      </c>
      <c r="I163" s="67" t="s">
        <v>5236</v>
      </c>
      <c r="J163" s="242" t="s">
        <v>3168</v>
      </c>
      <c r="K163" s="242" t="s">
        <v>4116</v>
      </c>
    </row>
    <row r="164" spans="1:11" ht="29.4" customHeight="1" x14ac:dyDescent="0.3">
      <c r="A164" s="240" t="str">
        <f>IF(OR(SexePerso="Féminin",'Perso Reloaded'!$C$6="Féminin"),"Fuera","Fuero")</f>
        <v>Fuero</v>
      </c>
      <c r="B164" s="240" t="str">
        <f>IF(AND(Syst.="Reloaded",Primes&lt;Atouts!E164),"",A164)</f>
        <v/>
      </c>
      <c r="C164" s="238" t="s">
        <v>3750</v>
      </c>
      <c r="D164" s="238" t="s">
        <v>3751</v>
      </c>
      <c r="E164" s="238">
        <f>VLOOKUP(D164,Tableaux!$BS:$BU,3,FALSE)</f>
        <v>20</v>
      </c>
      <c r="F164" s="238">
        <v>3</v>
      </c>
      <c r="G164" s="243" t="s">
        <v>1043</v>
      </c>
      <c r="H164" s="67" t="s">
        <v>1044</v>
      </c>
      <c r="I164" s="67" t="s">
        <v>1044</v>
      </c>
      <c r="J164" s="238" t="s">
        <v>1045</v>
      </c>
      <c r="K164" s="242" t="s">
        <v>3168</v>
      </c>
    </row>
    <row r="165" spans="1:11" ht="24" customHeight="1" x14ac:dyDescent="0.3">
      <c r="A165" s="240" t="s">
        <v>1046</v>
      </c>
      <c r="B165" s="240" t="str">
        <f>IF(AND(Syst.="Reloaded",Primes&lt;Atouts!E165),"",A165)</f>
        <v/>
      </c>
      <c r="C165" s="238" t="s">
        <v>3749</v>
      </c>
      <c r="D165" s="238" t="s">
        <v>3751</v>
      </c>
      <c r="E165" s="238">
        <f>VLOOKUP(D165,Tableaux!$BS:$BU,3,FALSE)</f>
        <v>20</v>
      </c>
      <c r="F165" s="238">
        <v>1</v>
      </c>
      <c r="G165" s="243" t="s">
        <v>3416</v>
      </c>
      <c r="H165" s="67" t="s">
        <v>3418</v>
      </c>
      <c r="I165" s="67" t="s">
        <v>3418</v>
      </c>
      <c r="J165" s="238" t="s">
        <v>1050</v>
      </c>
      <c r="K165" s="242" t="s">
        <v>3168</v>
      </c>
    </row>
    <row r="166" spans="1:11" ht="24" customHeight="1" x14ac:dyDescent="0.3">
      <c r="A166" s="240" t="str">
        <f>IF(OR(SexePerso="Féminin",'Perso Reloaded'!$C$6="Féminin"),"Grade militaire (générale, amirale)","Grade militaire (général, amiral)")</f>
        <v>Grade militaire (général, amiral)</v>
      </c>
      <c r="B166" s="240" t="str">
        <f>IF(AND(Syst.="Reloaded",Primes&lt;Atouts!E166),"",A166)</f>
        <v/>
      </c>
      <c r="C166" s="238" t="s">
        <v>3749</v>
      </c>
      <c r="D166" s="238" t="s">
        <v>2913</v>
      </c>
      <c r="E166" s="238">
        <f>VLOOKUP(D166,Tableaux!$BS:$BU,3,FALSE)</f>
        <v>80</v>
      </c>
      <c r="F166" s="238">
        <v>5</v>
      </c>
      <c r="G166" s="243" t="s">
        <v>3417</v>
      </c>
      <c r="H166" s="67" t="s">
        <v>1501</v>
      </c>
      <c r="I166" s="67" t="s">
        <v>3420</v>
      </c>
      <c r="J166" s="238" t="s">
        <v>1050</v>
      </c>
      <c r="K166" s="242" t="s">
        <v>3168</v>
      </c>
    </row>
    <row r="167" spans="1:11" ht="24" customHeight="1" x14ac:dyDescent="0.3">
      <c r="A167" s="240" t="s">
        <v>1048</v>
      </c>
      <c r="B167" s="240" t="str">
        <f>IF(AND(Syst.="Reloaded",Primes&lt;Atouts!E167),"",A167)</f>
        <v/>
      </c>
      <c r="C167" s="238" t="s">
        <v>3749</v>
      </c>
      <c r="D167" s="238" t="s">
        <v>3752</v>
      </c>
      <c r="E167" s="238">
        <f>VLOOKUP(D167,Tableaux!$BS:$BU,3,FALSE)</f>
        <v>40</v>
      </c>
      <c r="F167" s="238">
        <v>3</v>
      </c>
      <c r="G167" s="243" t="s">
        <v>3417</v>
      </c>
      <c r="H167" s="67" t="s">
        <v>3419</v>
      </c>
      <c r="I167" s="67" t="s">
        <v>3419</v>
      </c>
      <c r="J167" s="238" t="s">
        <v>1050</v>
      </c>
      <c r="K167" s="242" t="s">
        <v>3168</v>
      </c>
    </row>
    <row r="168" spans="1:11" ht="33" customHeight="1" x14ac:dyDescent="0.3">
      <c r="A168" s="240" t="s">
        <v>1049</v>
      </c>
      <c r="B168" s="240" t="str">
        <f>IF(AND(Syst.="Reloaded",Primes&lt;Atouts!E168),"",A168)</f>
        <v/>
      </c>
      <c r="C168" s="238" t="s">
        <v>3749</v>
      </c>
      <c r="D168" s="238" t="s">
        <v>3753</v>
      </c>
      <c r="E168" s="238">
        <f>VLOOKUP(D168,Tableaux!$BS:$BU,3,FALSE)</f>
        <v>60</v>
      </c>
      <c r="F168" s="238">
        <v>4</v>
      </c>
      <c r="G168" s="243" t="s">
        <v>3417</v>
      </c>
      <c r="H168" s="67" t="s">
        <v>3420</v>
      </c>
      <c r="I168" s="67" t="s">
        <v>3467</v>
      </c>
      <c r="J168" s="238" t="s">
        <v>1050</v>
      </c>
      <c r="K168" s="242" t="s">
        <v>3168</v>
      </c>
    </row>
    <row r="169" spans="1:11" ht="24" customHeight="1" x14ac:dyDescent="0.3">
      <c r="A169" s="240" t="s">
        <v>1047</v>
      </c>
      <c r="B169" s="240" t="str">
        <f>IF(AND(Syst.="Reloaded",Primes&lt;Atouts!E169),"",A169)</f>
        <v/>
      </c>
      <c r="C169" s="238" t="s">
        <v>3749</v>
      </c>
      <c r="D169" s="238" t="s">
        <v>3751</v>
      </c>
      <c r="E169" s="238">
        <f>VLOOKUP(D169,Tableaux!$BS:$BU,3,FALSE)</f>
        <v>20</v>
      </c>
      <c r="F169" s="238">
        <v>2</v>
      </c>
      <c r="G169" s="243" t="s">
        <v>3416</v>
      </c>
      <c r="H169" s="67" t="s">
        <v>3830</v>
      </c>
      <c r="I169" s="67" t="s">
        <v>4919</v>
      </c>
      <c r="J169" s="238" t="s">
        <v>1050</v>
      </c>
      <c r="K169" s="242" t="s">
        <v>3168</v>
      </c>
    </row>
    <row r="170" spans="1:11" ht="24" customHeight="1" x14ac:dyDescent="0.3">
      <c r="A170" s="240" t="s">
        <v>3316</v>
      </c>
      <c r="B170" s="240" t="str">
        <f>IF(OR(OR(Cmd=FALSE),(AND(Syst.="Reloaded",Primes&lt;Atouts!E170))),"",A170)</f>
        <v/>
      </c>
      <c r="C170" s="238" t="s">
        <v>3744</v>
      </c>
      <c r="D170" s="238" t="s">
        <v>3754</v>
      </c>
      <c r="E170" s="238">
        <f>VLOOKUP(D170,Tableaux!$BS:$BU,3,FALSE)</f>
        <v>0</v>
      </c>
      <c r="F170" s="238">
        <v>2</v>
      </c>
      <c r="G170" s="243" t="s">
        <v>3155</v>
      </c>
      <c r="H170" s="67" t="s">
        <v>3317</v>
      </c>
      <c r="I170" s="67" t="s">
        <v>3317</v>
      </c>
      <c r="J170" s="242" t="s">
        <v>3168</v>
      </c>
      <c r="K170" s="238" t="s">
        <v>3298</v>
      </c>
    </row>
    <row r="171" spans="1:11" ht="24" customHeight="1" x14ac:dyDescent="0.3">
      <c r="A171" s="240" t="s">
        <v>5237</v>
      </c>
      <c r="B171" s="240" t="str">
        <f>IF(OR(AND(Détérré=TRUE),(AND(Syst.="Reloaded",Primes&gt;Atouts!E171))),A171,"")</f>
        <v/>
      </c>
      <c r="C171" s="238" t="s">
        <v>3745</v>
      </c>
      <c r="D171" s="238" t="s">
        <v>3754</v>
      </c>
      <c r="E171" s="238">
        <f>VLOOKUP(D171,Tableaux!$BS:$BU,3,FALSE)</f>
        <v>0</v>
      </c>
      <c r="F171" s="238">
        <v>2</v>
      </c>
      <c r="G171" s="243" t="s">
        <v>307</v>
      </c>
      <c r="H171" s="67" t="s">
        <v>2539</v>
      </c>
      <c r="I171" s="67" t="s">
        <v>5242</v>
      </c>
      <c r="J171" s="242" t="s">
        <v>3168</v>
      </c>
      <c r="K171" s="238" t="s">
        <v>4120</v>
      </c>
    </row>
    <row r="172" spans="1:11" ht="24" customHeight="1" x14ac:dyDescent="0.3">
      <c r="A172" s="240" t="s">
        <v>3170</v>
      </c>
      <c r="B172" s="240" t="str">
        <f>IF(OR(OR(déVigueur&lt;8),(AND(Syst.="Reloaded",Primes&lt;Atouts!E172))),"",A172)</f>
        <v/>
      </c>
      <c r="C172" s="238" t="s">
        <v>3755</v>
      </c>
      <c r="D172" s="238" t="s">
        <v>3754</v>
      </c>
      <c r="E172" s="238">
        <f>VLOOKUP(D172,Tableaux!$BS:$BU,3,FALSE)</f>
        <v>0</v>
      </c>
      <c r="F172" s="238">
        <v>3</v>
      </c>
      <c r="G172" s="243" t="s">
        <v>3171</v>
      </c>
      <c r="H172" s="68" t="s">
        <v>3172</v>
      </c>
      <c r="I172" s="68" t="s">
        <v>3172</v>
      </c>
      <c r="J172" s="242" t="s">
        <v>3168</v>
      </c>
      <c r="K172" s="238" t="s">
        <v>3173</v>
      </c>
    </row>
    <row r="173" spans="1:11" ht="24" customHeight="1" x14ac:dyDescent="0.3">
      <c r="A173" s="240" t="str">
        <f>IF(OR(SexePerso="Féminin",'Perso Reloaded'!$C$6="Féminin"),"Guérisseuse","Guérisseur")</f>
        <v>Guérisseur</v>
      </c>
      <c r="B173" s="240" t="str">
        <f>IF(OR(OR(déAme&lt;8),(AND(Syst.="Reloaded",Primes&lt;Atouts!E173))),"",A173)</f>
        <v/>
      </c>
      <c r="C173" s="238" t="s">
        <v>3745</v>
      </c>
      <c r="D173" s="238" t="s">
        <v>3754</v>
      </c>
      <c r="E173" s="238">
        <f>VLOOKUP(D173,Tableaux!$BS:$BU,3,FALSE)</f>
        <v>0</v>
      </c>
      <c r="F173" s="238">
        <v>2</v>
      </c>
      <c r="G173" s="243" t="s">
        <v>3176</v>
      </c>
      <c r="H173" s="68" t="s">
        <v>3342</v>
      </c>
      <c r="I173" s="68" t="s">
        <v>3341</v>
      </c>
      <c r="J173" s="242" t="s">
        <v>3168</v>
      </c>
      <c r="K173" s="238" t="s">
        <v>3280</v>
      </c>
    </row>
    <row r="174" spans="1:11" ht="24" customHeight="1" x14ac:dyDescent="0.3">
      <c r="A174" s="240" t="str">
        <f>IF(OR(SexePerso="Féminin",'Perso Reloaded'!$C$6="Féminin"),"Guerrière sainte/impie","Guerrier saint/impie")</f>
        <v>Guerrier saint/impie</v>
      </c>
      <c r="B174" s="240" t="str">
        <f>IF(OR(OR(croyant=FALSE,déAme&lt;8),(AND(Syst.="Reloaded",Primes&lt;Atouts!E174))),"",A174)</f>
        <v/>
      </c>
      <c r="C174" s="238" t="s">
        <v>3749</v>
      </c>
      <c r="D174" s="238" t="s">
        <v>3754</v>
      </c>
      <c r="E174" s="238">
        <f>VLOOKUP(D174,Tableaux!$BS:$BU,3,FALSE)</f>
        <v>0</v>
      </c>
      <c r="F174" s="238">
        <v>2</v>
      </c>
      <c r="G174" s="243" t="s">
        <v>5257</v>
      </c>
      <c r="H174" s="67" t="s">
        <v>3468</v>
      </c>
      <c r="I174" s="67" t="s">
        <v>3969</v>
      </c>
      <c r="J174" s="68" t="s">
        <v>3168</v>
      </c>
      <c r="K174" s="238" t="s">
        <v>3970</v>
      </c>
    </row>
    <row r="175" spans="1:11" ht="33.6" customHeight="1" x14ac:dyDescent="0.3">
      <c r="A175" s="240" t="s">
        <v>5172</v>
      </c>
      <c r="B175" s="240" t="str">
        <f>IF(OR(AND(Détérré=TRUE),(AND(Syst.="Reloaded",Primes&gt;Atouts!E175))),A175,"")</f>
        <v/>
      </c>
      <c r="C175" s="238" t="s">
        <v>3745</v>
      </c>
      <c r="D175" s="238" t="s">
        <v>3751</v>
      </c>
      <c r="E175" s="238">
        <f>VLOOKUP(D175,Tableaux!$BS:$BU,3,FALSE)</f>
        <v>20</v>
      </c>
      <c r="F175" s="238">
        <v>5</v>
      </c>
      <c r="G175" s="243" t="s">
        <v>307</v>
      </c>
      <c r="H175" s="67" t="s">
        <v>5187</v>
      </c>
      <c r="I175" s="67" t="s">
        <v>5186</v>
      </c>
      <c r="J175" s="68" t="s">
        <v>3168</v>
      </c>
      <c r="K175" s="238" t="s">
        <v>5179</v>
      </c>
    </row>
    <row r="176" spans="1:11" ht="24" customHeight="1" x14ac:dyDescent="0.3">
      <c r="A176" s="240" t="s">
        <v>1381</v>
      </c>
      <c r="B176" s="240" t="str">
        <f>IF(OR(OR(EthniePerso&lt;&gt;"Indien"),(AND(Syst.="Reloaded",Primes&lt;Atouts!E176))),"",A176)</f>
        <v/>
      </c>
      <c r="C176" s="238" t="s">
        <v>3755</v>
      </c>
      <c r="D176" s="238" t="s">
        <v>3751</v>
      </c>
      <c r="E176" s="238">
        <f>VLOOKUP(D176,Tableaux!$BS:$BU,3,FALSE)</f>
        <v>20</v>
      </c>
      <c r="F176" s="238">
        <v>3</v>
      </c>
      <c r="G176" s="243" t="s">
        <v>301</v>
      </c>
      <c r="H176" s="67" t="s">
        <v>1052</v>
      </c>
      <c r="I176" s="67" t="s">
        <v>1052</v>
      </c>
      <c r="J176" s="238" t="s">
        <v>1015</v>
      </c>
      <c r="K176" s="242" t="s">
        <v>3168</v>
      </c>
    </row>
    <row r="177" spans="1:11" ht="24" customHeight="1" x14ac:dyDescent="0.3">
      <c r="A177" s="240" t="str">
        <f>IF(SexePerso="Féminin","Femme de loi (Adjointe/Députée)",IF('Perso Reloaded'!$C$6="Féminin","Femme de loi (Adjointe/Députée)","Homme de loi (Adjoint/Député)"))</f>
        <v>Homme de loi (Adjoint/Député)</v>
      </c>
      <c r="B177" s="240" t="str">
        <f>IF(AND(Syst.="Reloaded",Primes&lt;Atouts!E177),"",A177)</f>
        <v>Homme de loi (Adjoint/Député)</v>
      </c>
      <c r="C177" s="238" t="s">
        <v>3749</v>
      </c>
      <c r="D177" s="238" t="s">
        <v>3754</v>
      </c>
      <c r="E177" s="238">
        <f>VLOOKUP(D177,Tableaux!$BS:$BU,3,FALSE)</f>
        <v>0</v>
      </c>
      <c r="F177" s="238">
        <v>1</v>
      </c>
      <c r="G177" s="243" t="s">
        <v>3422</v>
      </c>
      <c r="H177" s="67" t="s">
        <v>1051</v>
      </c>
      <c r="I177" s="67" t="s">
        <v>1051</v>
      </c>
      <c r="J177" s="238" t="s">
        <v>1050</v>
      </c>
      <c r="K177" s="238" t="s">
        <v>3426</v>
      </c>
    </row>
    <row r="178" spans="1:11" ht="24" customHeight="1" x14ac:dyDescent="0.3">
      <c r="A178" s="240" t="str">
        <f>IF(SexePerso="Féminin","Femme de loi (Shérif)",IF('Perso Reloaded'!$C$6="Féminin","Femme de loi (Shérif)","Homme de loi (Shérif)"))</f>
        <v>Homme de loi (Shérif)</v>
      </c>
      <c r="B178" s="240" t="str">
        <f>IF(AND(Syst.="Reloaded",Primes&lt;Atouts!E178),"",A178)</f>
        <v>Homme de loi (Shérif)</v>
      </c>
      <c r="C178" s="238" t="s">
        <v>3749</v>
      </c>
      <c r="D178" s="238" t="s">
        <v>3754</v>
      </c>
      <c r="E178" s="238">
        <f>VLOOKUP(D178,Tableaux!$BS:$BU,3,FALSE)</f>
        <v>0</v>
      </c>
      <c r="F178" s="238">
        <v>3</v>
      </c>
      <c r="G178" s="243" t="s">
        <v>3421</v>
      </c>
      <c r="H178" s="67" t="s">
        <v>1051</v>
      </c>
      <c r="I178" s="67" t="s">
        <v>1051</v>
      </c>
      <c r="J178" s="238" t="s">
        <v>1050</v>
      </c>
      <c r="K178" s="238" t="s">
        <v>3427</v>
      </c>
    </row>
    <row r="179" spans="1:11" ht="24" customHeight="1" x14ac:dyDescent="0.3">
      <c r="A179" s="240" t="str">
        <f>IF(SexePerso="Féminin","Femme de loi (US Marshal/Agent Pinkerton/Texas Ranger)",IF('Perso Reloaded'!$C$6="Féminin","Femme de loi (US Marshal/Agent Pinkerton/Texas Ranger)","Homme de loi (US Marshal/Agent Pinkerton/Texas Ranger)"))</f>
        <v>Homme de loi (US Marshal/Agent Pinkerton/Texas Ranger)</v>
      </c>
      <c r="B179" s="240" t="str">
        <f>IF(AND(Syst.="Reloaded",Primes&lt;Atouts!E179),"",A179)</f>
        <v/>
      </c>
      <c r="C179" s="238" t="s">
        <v>3749</v>
      </c>
      <c r="D179" s="238" t="s">
        <v>3751</v>
      </c>
      <c r="E179" s="238">
        <f>VLOOKUP(D179,Tableaux!$BS:$BU,3,FALSE)</f>
        <v>20</v>
      </c>
      <c r="F179" s="238">
        <v>5</v>
      </c>
      <c r="G179" s="243" t="s">
        <v>3423</v>
      </c>
      <c r="H179" s="67" t="s">
        <v>1051</v>
      </c>
      <c r="I179" s="67" t="s">
        <v>3425</v>
      </c>
      <c r="J179" s="238" t="s">
        <v>1050</v>
      </c>
      <c r="K179" s="238" t="s">
        <v>3424</v>
      </c>
    </row>
    <row r="180" spans="1:11" ht="24" customHeight="1" x14ac:dyDescent="0.3">
      <c r="A180" s="240" t="str">
        <f>IF(SexePerso="Féminin","Femme des étendues sauvages",IF('Perso Reloaded'!$C$6="Féminin","Femme des étendues sauvages","Homme des étendues sauvages"))</f>
        <v>Homme des étendues sauvages</v>
      </c>
      <c r="B180" s="240" t="str">
        <f>IF(AND(Syst.="Reloaded",Primes&lt;Atouts!E180),"",A180)</f>
        <v>Homme des étendues sauvages</v>
      </c>
      <c r="C180" s="238" t="s">
        <v>3749</v>
      </c>
      <c r="D180" s="238" t="s">
        <v>3754</v>
      </c>
      <c r="E180" s="238">
        <f>VLOOKUP(D180,Tableaux!$BS:$BU,3,FALSE)</f>
        <v>0</v>
      </c>
      <c r="F180" s="238">
        <v>5</v>
      </c>
      <c r="G180" s="243" t="s">
        <v>3413</v>
      </c>
      <c r="H180" s="68" t="s">
        <v>3414</v>
      </c>
      <c r="I180" s="68" t="s">
        <v>3831</v>
      </c>
      <c r="J180" s="238" t="s">
        <v>1017</v>
      </c>
      <c r="K180" s="238" t="s">
        <v>3415</v>
      </c>
    </row>
    <row r="181" spans="1:11" ht="24" customHeight="1" x14ac:dyDescent="0.3">
      <c r="A181" s="240" t="s">
        <v>4801</v>
      </c>
      <c r="B181" s="240" t="str">
        <f>IF(OR(OR(EthniePerso&lt;&gt;"Sudiste"),(AND(Syst.="Reloaded",Primes&lt;Atouts!E181))),"",A181)</f>
        <v/>
      </c>
      <c r="C181" s="238" t="s">
        <v>3755</v>
      </c>
      <c r="D181" s="238" t="s">
        <v>3754</v>
      </c>
      <c r="E181" s="238">
        <f>VLOOKUP(D181,Tableaux!$BS:$BU,3,FALSE)</f>
        <v>0</v>
      </c>
      <c r="F181" s="238">
        <v>2</v>
      </c>
      <c r="G181" s="243" t="s">
        <v>4802</v>
      </c>
      <c r="H181" s="67" t="s">
        <v>4920</v>
      </c>
      <c r="I181" s="67" t="s">
        <v>4921</v>
      </c>
      <c r="J181" s="238" t="s">
        <v>1003</v>
      </c>
      <c r="K181" s="242" t="s">
        <v>4791</v>
      </c>
    </row>
    <row r="182" spans="1:11" ht="24" customHeight="1" x14ac:dyDescent="0.3">
      <c r="A182" s="240" t="s">
        <v>3635</v>
      </c>
      <c r="B182" s="240" t="str">
        <f>IF(OR(OR(EthniePerso&lt;&gt;"Sudiste"),(AND(Syst.="Reloaded",Primes&lt;Atouts!E182))),"",A182)</f>
        <v/>
      </c>
      <c r="C182" s="238" t="s">
        <v>3743</v>
      </c>
      <c r="D182" s="238" t="s">
        <v>3754</v>
      </c>
      <c r="E182" s="238">
        <f>VLOOKUP(D182,Tableaux!$BS:$BU,3,FALSE)</f>
        <v>0</v>
      </c>
      <c r="F182" s="238">
        <v>2</v>
      </c>
      <c r="G182" s="243" t="s">
        <v>1004</v>
      </c>
      <c r="H182" s="67" t="s">
        <v>1502</v>
      </c>
      <c r="I182" s="67" t="s">
        <v>3832</v>
      </c>
      <c r="J182" s="238" t="s">
        <v>1003</v>
      </c>
      <c r="K182" s="238" t="s">
        <v>3229</v>
      </c>
    </row>
    <row r="183" spans="1:11" ht="24" customHeight="1" x14ac:dyDescent="0.3">
      <c r="A183" s="240" t="s">
        <v>5249</v>
      </c>
      <c r="B183" s="240" t="str">
        <f>IF(OR(OR(déIntellect&lt;6),(AND(Syst.="Reloaded",Primes&lt;Atouts!E183))),"",A183)</f>
        <v/>
      </c>
      <c r="C183" s="238" t="s">
        <v>3750</v>
      </c>
      <c r="D183" s="238" t="s">
        <v>3754</v>
      </c>
      <c r="E183" s="238">
        <f>VLOOKUP(D183,Tableaux!$BS:$BU,3,FALSE)</f>
        <v>0</v>
      </c>
      <c r="F183" s="238">
        <v>1</v>
      </c>
      <c r="G183" s="243" t="s">
        <v>3167</v>
      </c>
      <c r="H183" s="67" t="s">
        <v>5250</v>
      </c>
      <c r="I183" s="67" t="s">
        <v>5250</v>
      </c>
      <c r="J183" s="242" t="s">
        <v>3168</v>
      </c>
      <c r="K183" s="238" t="s">
        <v>5142</v>
      </c>
    </row>
    <row r="184" spans="1:11" ht="36" customHeight="1" x14ac:dyDescent="0.3">
      <c r="A184" s="240" t="s">
        <v>5173</v>
      </c>
      <c r="B184" s="240" t="str">
        <f>IF(OR(AND(Détérré=TRUE),(AND(Syst.="Reloaded",Primes&gt;Atouts!E184))),A184,"")</f>
        <v/>
      </c>
      <c r="C184" s="238" t="s">
        <v>3745</v>
      </c>
      <c r="D184" s="238" t="s">
        <v>2913</v>
      </c>
      <c r="E184" s="238">
        <f>VLOOKUP(D184,Tableaux!$BS:$BU,3,FALSE)</f>
        <v>80</v>
      </c>
      <c r="F184" s="238">
        <v>6</v>
      </c>
      <c r="G184" s="243" t="s">
        <v>307</v>
      </c>
      <c r="H184" s="67" t="s">
        <v>5200</v>
      </c>
      <c r="I184" s="67" t="s">
        <v>5188</v>
      </c>
      <c r="J184" s="242" t="s">
        <v>3168</v>
      </c>
      <c r="K184" s="238" t="s">
        <v>5179</v>
      </c>
    </row>
    <row r="185" spans="1:11" ht="24" customHeight="1" x14ac:dyDescent="0.3">
      <c r="A185" s="240" t="s">
        <v>3276</v>
      </c>
      <c r="B185" s="240" t="str">
        <f>IF(AND(Syst.="Reloaded",Primes&lt;Atouts!E185),"",A185)</f>
        <v/>
      </c>
      <c r="C185" s="238" t="s">
        <v>3743</v>
      </c>
      <c r="D185" s="238" t="s">
        <v>3751</v>
      </c>
      <c r="E185" s="238">
        <f>VLOOKUP(D185,Tableaux!$BS:$BU,3,FALSE)</f>
        <v>20</v>
      </c>
      <c r="F185" s="238">
        <v>3</v>
      </c>
      <c r="G185" s="243" t="s">
        <v>3167</v>
      </c>
      <c r="H185" s="67" t="s">
        <v>3277</v>
      </c>
      <c r="I185" s="67" t="s">
        <v>3278</v>
      </c>
      <c r="J185" s="242" t="s">
        <v>3168</v>
      </c>
      <c r="K185" s="238" t="s">
        <v>3271</v>
      </c>
    </row>
    <row r="186" spans="1:11" ht="24" customHeight="1" x14ac:dyDescent="0.3">
      <c r="A186" s="240" t="s">
        <v>3562</v>
      </c>
      <c r="B186" s="240" t="str">
        <f>IF(OR(AND(Détérré=TRUE),(AND(Syst.="Reloaded",Primes&gt;Atouts!E186))),A186,"")</f>
        <v/>
      </c>
      <c r="C186" s="238" t="s">
        <v>3745</v>
      </c>
      <c r="D186" s="238" t="s">
        <v>3751</v>
      </c>
      <c r="E186" s="238">
        <f>VLOOKUP(D186,Tableaux!$BS:$BU,3,FALSE)</f>
        <v>20</v>
      </c>
      <c r="F186" s="238">
        <v>3</v>
      </c>
      <c r="G186" s="243" t="s">
        <v>5228</v>
      </c>
      <c r="I186" s="67" t="s">
        <v>5229</v>
      </c>
      <c r="J186" s="242" t="s">
        <v>3168</v>
      </c>
      <c r="K186" s="238" t="s">
        <v>4116</v>
      </c>
    </row>
    <row r="187" spans="1:11" ht="24" customHeight="1" x14ac:dyDescent="0.3">
      <c r="A187" s="240" t="s">
        <v>1382</v>
      </c>
      <c r="B187" s="240" t="str">
        <f>IF(OR(OR(EthniePerso&lt;&gt;"Canadien"),(AND(Syst.="Reloaded",Primes&lt;Atouts!E187))),"",A187)</f>
        <v/>
      </c>
      <c r="C187" s="238" t="s">
        <v>3755</v>
      </c>
      <c r="D187" s="238" t="s">
        <v>3754</v>
      </c>
      <c r="E187" s="238">
        <f>VLOOKUP(D187,Tableaux!$BS:$BU,3,FALSE)</f>
        <v>0</v>
      </c>
      <c r="F187" s="238">
        <v>3</v>
      </c>
      <c r="G187" s="243" t="s">
        <v>302</v>
      </c>
      <c r="H187" s="68" t="s">
        <v>3349</v>
      </c>
      <c r="I187" s="68" t="s">
        <v>3576</v>
      </c>
      <c r="J187" s="238" t="s">
        <v>1017</v>
      </c>
      <c r="K187" s="242" t="s">
        <v>3168</v>
      </c>
    </row>
    <row r="188" spans="1:11" ht="24" customHeight="1" x14ac:dyDescent="0.3">
      <c r="A188" s="240" t="s">
        <v>1772</v>
      </c>
      <c r="B188" s="240" t="str">
        <f>IF(AND(Syst.="Reloaded",Primes&lt;Atouts!E188),"",A188)</f>
        <v/>
      </c>
      <c r="C188" s="238" t="s">
        <v>3744</v>
      </c>
      <c r="D188" s="238" t="s">
        <v>3751</v>
      </c>
      <c r="E188" s="238">
        <f>VLOOKUP(D188,Tableaux!$BS:$BU,3,FALSE)</f>
        <v>20</v>
      </c>
      <c r="F188" s="238">
        <v>3</v>
      </c>
      <c r="G188" s="399" t="s">
        <v>3168</v>
      </c>
      <c r="H188" s="67" t="s">
        <v>3318</v>
      </c>
      <c r="I188" s="67" t="s">
        <v>3319</v>
      </c>
      <c r="J188" s="242" t="s">
        <v>3168</v>
      </c>
      <c r="K188" s="238" t="s">
        <v>3298</v>
      </c>
    </row>
    <row r="189" spans="1:11" ht="24" customHeight="1" x14ac:dyDescent="0.3">
      <c r="A189" s="240" t="str">
        <f>IF(OR(SexePerso="Féminin",'Perso Reloaded'!$C$6="Féminin"),"Instinct de Tueuse","Instinct de Tueur")</f>
        <v>Instinct de Tueur</v>
      </c>
      <c r="B189" s="240" t="str">
        <f>IF(AND(Syst.="Reloaded",Primes&lt;Atouts!E189),"",A189)</f>
        <v/>
      </c>
      <c r="C189" s="238" t="s">
        <v>3743</v>
      </c>
      <c r="D189" s="238" t="s">
        <v>3753</v>
      </c>
      <c r="E189" s="238">
        <f>VLOOKUP(D189,Tableaux!$BS:$BU,3,FALSE)</f>
        <v>60</v>
      </c>
      <c r="F189" s="238">
        <v>6</v>
      </c>
      <c r="G189" s="399" t="s">
        <v>3168</v>
      </c>
      <c r="H189" s="68" t="s">
        <v>3285</v>
      </c>
      <c r="I189" s="68" t="s">
        <v>3285</v>
      </c>
      <c r="J189" s="242" t="s">
        <v>3168</v>
      </c>
      <c r="K189" s="238" t="s">
        <v>3271</v>
      </c>
    </row>
    <row r="190" spans="1:11" ht="24" customHeight="1" x14ac:dyDescent="0.3">
      <c r="A190" s="240" t="str">
        <f>IF(OR(SexePerso="Féminin",'Perso Reloaded'!$C$6="Féminin"),"Investigatrice","Investigateur")</f>
        <v>Investigateur</v>
      </c>
      <c r="B190" s="240" t="str">
        <f>IF(OR(OR(déIntellect&lt;6),(AND(Syst.="Reloaded",Primes&lt;Atouts!E190))),"",A190)</f>
        <v/>
      </c>
      <c r="C190" s="238" t="s">
        <v>3749</v>
      </c>
      <c r="D190" s="238" t="s">
        <v>3754</v>
      </c>
      <c r="E190" s="238">
        <f>VLOOKUP(D190,Tableaux!$BS:$BU,3,FALSE)</f>
        <v>0</v>
      </c>
      <c r="F190" s="238">
        <v>2</v>
      </c>
      <c r="G190" s="243" t="s">
        <v>3469</v>
      </c>
      <c r="H190" s="68" t="s">
        <v>3471</v>
      </c>
      <c r="I190" s="68" t="s">
        <v>3470</v>
      </c>
      <c r="J190" s="242" t="s">
        <v>3168</v>
      </c>
      <c r="K190" s="238" t="s">
        <v>3415</v>
      </c>
    </row>
    <row r="191" spans="1:11" ht="24" customHeight="1" x14ac:dyDescent="0.3">
      <c r="A191" s="240" t="str">
        <f>IF(OR(SexePerso="Féminin",'Perso Reloaded'!$C$6="Féminin"),"Jenny Deux flingues/Combat à deux armes","Johnny Deux flingues/Combat à deux armes")</f>
        <v>Johnny Deux flingues/Combat à deux armes</v>
      </c>
      <c r="B191" s="240" t="str">
        <f>IF(OR(OR(déAgilité&lt;6),(AND(Syst.="Reloaded",Primes&lt;Atouts!E191))),"",A191)</f>
        <v/>
      </c>
      <c r="C191" s="238" t="s">
        <v>3743</v>
      </c>
      <c r="D191" s="238" t="s">
        <v>3754</v>
      </c>
      <c r="E191" s="238">
        <f>VLOOKUP(D191,Tableaux!$BS:$BU,3,FALSE)</f>
        <v>0</v>
      </c>
      <c r="F191" s="238">
        <v>3</v>
      </c>
      <c r="G191" s="243" t="s">
        <v>3197</v>
      </c>
      <c r="H191" s="67" t="s">
        <v>3239</v>
      </c>
      <c r="I191" s="67" t="s">
        <v>3238</v>
      </c>
      <c r="J191" s="238" t="s">
        <v>1055</v>
      </c>
      <c r="K191" s="68" t="s">
        <v>3168</v>
      </c>
    </row>
    <row r="192" spans="1:11" ht="24" customHeight="1" x14ac:dyDescent="0.3">
      <c r="A192" s="240" t="str">
        <f>IF(OR(SexePerso="Féminin",'Perso Reloaded'!$C$6="Féminin"),"Jenny Deux flingues/Pistolera","Johnny Deux flingues/Pistolero")</f>
        <v>Johnny Deux flingues/Pistolero</v>
      </c>
      <c r="B192" s="240" t="str">
        <f>IF(OR(OR(déAgilité&lt;8,Calc!U189=FALSE,TElite=FALSE),(AND(Syst.="Reloaded",Primes&lt;Atouts!E192))),"",A192)</f>
        <v/>
      </c>
      <c r="C192" s="238" t="s">
        <v>3743</v>
      </c>
      <c r="D192" s="238" t="s">
        <v>3752</v>
      </c>
      <c r="E192" s="238">
        <f>VLOOKUP(D192,Tableaux!$BS:$BU,3,FALSE)</f>
        <v>40</v>
      </c>
      <c r="F192" s="238">
        <v>5</v>
      </c>
      <c r="G192" s="243" t="s">
        <v>5084</v>
      </c>
      <c r="H192" s="67" t="s">
        <v>1054</v>
      </c>
      <c r="I192" s="67" t="s">
        <v>5082</v>
      </c>
      <c r="J192" s="238" t="s">
        <v>1055</v>
      </c>
      <c r="K192" s="238" t="s">
        <v>5083</v>
      </c>
    </row>
    <row r="193" spans="1:11" ht="24" customHeight="1" x14ac:dyDescent="0.3">
      <c r="A193" s="240" t="s">
        <v>4674</v>
      </c>
      <c r="B193" s="240" t="str">
        <f>IF(OR(OR(Illumination=FALSE,déAme&lt;7,KFSHI=FALSE),(AND(Syst.="Reloaded",Primes&lt;Atouts!E193))),"",A193)</f>
        <v/>
      </c>
      <c r="C193" s="238" t="s">
        <v>3743</v>
      </c>
      <c r="D193" s="238" t="s">
        <v>3752</v>
      </c>
      <c r="E193" s="238">
        <f>VLOOKUP(D193,Tableaux!$BS:$BU,3,FALSE)</f>
        <v>40</v>
      </c>
      <c r="F193" s="238">
        <v>5</v>
      </c>
      <c r="G193" s="243" t="s">
        <v>4683</v>
      </c>
      <c r="H193" s="67" t="s">
        <v>3548</v>
      </c>
      <c r="I193" s="67" t="s">
        <v>4685</v>
      </c>
      <c r="J193" s="238" t="s">
        <v>4922</v>
      </c>
      <c r="K193" s="238" t="s">
        <v>4671</v>
      </c>
    </row>
    <row r="194" spans="1:11" ht="24" customHeight="1" x14ac:dyDescent="0.3">
      <c r="A194" s="240" t="s">
        <v>4676</v>
      </c>
      <c r="B194" s="240" t="str">
        <f>IF(OR(OR(Illumination=FALSE,déAme&lt;7,KFSMR=FALSE),(AND(Syst.="Reloaded",Primes&lt;Atouts!E194))),"",A194)</f>
        <v/>
      </c>
      <c r="C194" s="238" t="s">
        <v>3743</v>
      </c>
      <c r="D194" s="238" t="s">
        <v>3752</v>
      </c>
      <c r="E194" s="238">
        <f>VLOOKUP(D194,Tableaux!$BS:$BU,3,FALSE)</f>
        <v>40</v>
      </c>
      <c r="F194" s="238">
        <v>5</v>
      </c>
      <c r="G194" s="243" t="s">
        <v>4683</v>
      </c>
      <c r="H194" s="67" t="s">
        <v>3550</v>
      </c>
      <c r="I194" s="67" t="s">
        <v>4687</v>
      </c>
      <c r="J194" s="238" t="s">
        <v>4922</v>
      </c>
      <c r="K194" s="238" t="s">
        <v>4671</v>
      </c>
    </row>
    <row r="195" spans="1:11" ht="24" customHeight="1" x14ac:dyDescent="0.3">
      <c r="A195" s="240" t="s">
        <v>4675</v>
      </c>
      <c r="B195" s="240" t="str">
        <f>IF(OR(OR(Illumination=FALSE,déAme&lt;7,KFSSA=FALSE),(AND(Syst.="Reloaded",Primes&lt;Atouts!E195))),"",A195)</f>
        <v/>
      </c>
      <c r="C195" s="238" t="s">
        <v>3743</v>
      </c>
      <c r="D195" s="238" t="s">
        <v>3752</v>
      </c>
      <c r="E195" s="238">
        <f>VLOOKUP(D195,Tableaux!$BS:$BU,3,FALSE)</f>
        <v>40</v>
      </c>
      <c r="F195" s="238">
        <v>5</v>
      </c>
      <c r="G195" s="243" t="s">
        <v>4683</v>
      </c>
      <c r="H195" s="67" t="s">
        <v>3549</v>
      </c>
      <c r="I195" s="67" t="s">
        <v>4686</v>
      </c>
      <c r="J195" s="238" t="s">
        <v>4922</v>
      </c>
      <c r="K195" s="238" t="s">
        <v>4671</v>
      </c>
    </row>
    <row r="196" spans="1:11" ht="24" customHeight="1" x14ac:dyDescent="0.3">
      <c r="A196" s="240" t="s">
        <v>4677</v>
      </c>
      <c r="B196" s="240" t="str">
        <f>IF(OR(OR(Illumination=FALSE,déAme&lt;7,KFSLS=FALSE),(AND(Syst.="Reloaded",Primes&lt;Atouts!E196))),"",A196)</f>
        <v/>
      </c>
      <c r="C196" s="238" t="s">
        <v>3743</v>
      </c>
      <c r="D196" s="238" t="s">
        <v>3752</v>
      </c>
      <c r="E196" s="238">
        <f>VLOOKUP(D196,Tableaux!$BS:$BU,3,FALSE)</f>
        <v>40</v>
      </c>
      <c r="F196" s="238">
        <v>5</v>
      </c>
      <c r="G196" s="243" t="s">
        <v>4683</v>
      </c>
      <c r="H196" s="67" t="s">
        <v>3551</v>
      </c>
      <c r="I196" s="67" t="s">
        <v>4688</v>
      </c>
      <c r="J196" s="238" t="s">
        <v>4922</v>
      </c>
      <c r="K196" s="238" t="s">
        <v>4671</v>
      </c>
    </row>
    <row r="197" spans="1:11" ht="24" customHeight="1" x14ac:dyDescent="0.3">
      <c r="A197" s="240" t="s">
        <v>4678</v>
      </c>
      <c r="B197" s="240" t="str">
        <f>IF(OR(OR(Illumination=FALSE,déAme&lt;7,KFSLTS=FALSE),(AND(Syst.="Reloaded",Primes&lt;Atouts!E197))),"",A197)</f>
        <v/>
      </c>
      <c r="C197" s="238" t="s">
        <v>3743</v>
      </c>
      <c r="D197" s="238" t="s">
        <v>3752</v>
      </c>
      <c r="E197" s="238">
        <f>VLOOKUP(D197,Tableaux!$BS:$BU,3,FALSE)</f>
        <v>40</v>
      </c>
      <c r="F197" s="238">
        <v>5</v>
      </c>
      <c r="G197" s="243" t="s">
        <v>4683</v>
      </c>
      <c r="H197" s="67" t="s">
        <v>3552</v>
      </c>
      <c r="I197" s="67" t="s">
        <v>4689</v>
      </c>
      <c r="J197" s="238" t="s">
        <v>4922</v>
      </c>
      <c r="K197" s="238" t="s">
        <v>4671</v>
      </c>
    </row>
    <row r="198" spans="1:11" ht="24" customHeight="1" x14ac:dyDescent="0.3">
      <c r="A198" s="240" t="s">
        <v>4679</v>
      </c>
      <c r="B198" s="240" t="str">
        <f>IF(OR(OR(Illumination=FALSE,déAme&lt;7,KFSSC=FALSE),(AND(Syst.="Reloaded",Primes&lt;Atouts!E198))),"",A198)</f>
        <v/>
      </c>
      <c r="C198" s="238" t="s">
        <v>3743</v>
      </c>
      <c r="D198" s="238" t="s">
        <v>3752</v>
      </c>
      <c r="E198" s="238">
        <f>VLOOKUP(D198,Tableaux!$BS:$BU,3,FALSE)</f>
        <v>40</v>
      </c>
      <c r="F198" s="238">
        <v>5</v>
      </c>
      <c r="G198" s="243" t="s">
        <v>4683</v>
      </c>
      <c r="H198" s="67" t="s">
        <v>3553</v>
      </c>
      <c r="I198" s="67" t="s">
        <v>4690</v>
      </c>
      <c r="J198" s="238" t="s">
        <v>4922</v>
      </c>
      <c r="K198" s="238" t="s">
        <v>4671</v>
      </c>
    </row>
    <row r="199" spans="1:11" ht="24" customHeight="1" x14ac:dyDescent="0.3">
      <c r="A199" s="240" t="s">
        <v>4680</v>
      </c>
      <c r="B199" s="240" t="str">
        <f>IF(OR(OR(Illumination=FALSE,déAme&lt;7,KFSTC=FALSE),(AND(Syst.="Reloaded",Primes&lt;Atouts!E199))),"",A199)</f>
        <v/>
      </c>
      <c r="C199" s="238" t="s">
        <v>3743</v>
      </c>
      <c r="D199" s="238" t="s">
        <v>3752</v>
      </c>
      <c r="E199" s="238">
        <f>VLOOKUP(D199,Tableaux!$BS:$BU,3,FALSE)</f>
        <v>40</v>
      </c>
      <c r="F199" s="238">
        <v>5</v>
      </c>
      <c r="G199" s="243" t="s">
        <v>4683</v>
      </c>
      <c r="H199" s="67" t="s">
        <v>3554</v>
      </c>
      <c r="I199" s="67" t="s">
        <v>4691</v>
      </c>
      <c r="J199" s="238" t="s">
        <v>4922</v>
      </c>
      <c r="K199" s="238" t="s">
        <v>4671</v>
      </c>
    </row>
    <row r="200" spans="1:11" ht="24" customHeight="1" x14ac:dyDescent="0.3">
      <c r="A200" s="240" t="s">
        <v>4681</v>
      </c>
      <c r="B200" s="240" t="str">
        <f>IF(OR(OR(Illumination=FALSE,déAme&lt;7,KFSTT=FALSE),(AND(Syst.="Reloaded",Primes&lt;Atouts!E200))),"",A200)</f>
        <v/>
      </c>
      <c r="C200" s="238" t="s">
        <v>3743</v>
      </c>
      <c r="D200" s="238" t="s">
        <v>3752</v>
      </c>
      <c r="E200" s="238">
        <f>VLOOKUP(D200,Tableaux!$BS:$BU,3,FALSE)</f>
        <v>40</v>
      </c>
      <c r="F200" s="238">
        <v>5</v>
      </c>
      <c r="G200" s="243" t="s">
        <v>4683</v>
      </c>
      <c r="H200" s="67" t="s">
        <v>4923</v>
      </c>
      <c r="I200" s="67" t="s">
        <v>4692</v>
      </c>
      <c r="J200" s="238" t="s">
        <v>4922</v>
      </c>
      <c r="K200" s="238" t="s">
        <v>4671</v>
      </c>
    </row>
    <row r="201" spans="1:11" ht="24" customHeight="1" x14ac:dyDescent="0.3">
      <c r="A201" s="240" t="s">
        <v>4924</v>
      </c>
      <c r="B201" s="240" t="str">
        <f>IF(OR(OR(Illumination=FALSE,déAme&lt;7,KFSWC=FALSE),(AND(Syst.="Reloaded",Primes&lt;Atouts!E201))),"",A201)</f>
        <v/>
      </c>
      <c r="C201" s="238" t="s">
        <v>3743</v>
      </c>
      <c r="D201" s="238" t="s">
        <v>3752</v>
      </c>
      <c r="E201" s="238">
        <f>VLOOKUP(D201,Tableaux!$BS:$BU,3,FALSE)</f>
        <v>40</v>
      </c>
      <c r="F201" s="238">
        <v>5</v>
      </c>
      <c r="G201" s="243" t="s">
        <v>4683</v>
      </c>
      <c r="H201" s="67" t="s">
        <v>3555</v>
      </c>
      <c r="I201" s="67" t="s">
        <v>4693</v>
      </c>
      <c r="J201" s="238" t="s">
        <v>4922</v>
      </c>
      <c r="K201" s="238" t="s">
        <v>4671</v>
      </c>
    </row>
    <row r="202" spans="1:11" ht="24" customHeight="1" x14ac:dyDescent="0.3">
      <c r="A202" s="240" t="s">
        <v>3529</v>
      </c>
      <c r="B202" s="240" t="str">
        <f>IF(OR(OR(Illumination=FALSE,déAme&lt;5),(AND(Syst.="Reloaded",Primes&lt;Atouts!E202))),"",A202)</f>
        <v/>
      </c>
      <c r="C202" s="238" t="s">
        <v>3743</v>
      </c>
      <c r="D202" s="238" t="s">
        <v>3754</v>
      </c>
      <c r="E202" s="238">
        <f>VLOOKUP(D202,Tableaux!$BS:$BU,3,FALSE)</f>
        <v>0</v>
      </c>
      <c r="F202" s="238">
        <v>2</v>
      </c>
      <c r="G202" s="243" t="s">
        <v>3876</v>
      </c>
      <c r="H202" s="67" t="s">
        <v>3548</v>
      </c>
      <c r="I202" s="67" t="s">
        <v>3530</v>
      </c>
      <c r="J202" s="238" t="s">
        <v>4922</v>
      </c>
      <c r="K202" s="238" t="s">
        <v>3547</v>
      </c>
    </row>
    <row r="203" spans="1:11" ht="24" customHeight="1" x14ac:dyDescent="0.3">
      <c r="A203" s="240" t="s">
        <v>3533</v>
      </c>
      <c r="B203" s="240" t="str">
        <f>IF(OR(OR(Illumination=FALSE,déAme&lt;5),(AND(Syst.="Reloaded",Primes&lt;Atouts!E203))),"",A203)</f>
        <v/>
      </c>
      <c r="C203" s="238" t="s">
        <v>3743</v>
      </c>
      <c r="D203" s="238" t="s">
        <v>3754</v>
      </c>
      <c r="E203" s="238">
        <f>VLOOKUP(D203,Tableaux!$BS:$BU,3,FALSE)</f>
        <v>0</v>
      </c>
      <c r="F203" s="238">
        <v>2</v>
      </c>
      <c r="G203" s="243" t="s">
        <v>3876</v>
      </c>
      <c r="H203" s="67" t="s">
        <v>3550</v>
      </c>
      <c r="I203" s="67" t="s">
        <v>3534</v>
      </c>
      <c r="J203" s="238" t="s">
        <v>4922</v>
      </c>
      <c r="K203" s="238" t="s">
        <v>3547</v>
      </c>
    </row>
    <row r="204" spans="1:11" ht="24" customHeight="1" x14ac:dyDescent="0.3">
      <c r="A204" s="240" t="s">
        <v>3531</v>
      </c>
      <c r="B204" s="240" t="str">
        <f>IF(OR(OR(Illumination=FALSE,déAme&lt;5),(AND(Syst.="Reloaded",Primes&lt;Atouts!E204))),"",A204)</f>
        <v/>
      </c>
      <c r="C204" s="238" t="s">
        <v>3743</v>
      </c>
      <c r="D204" s="238" t="s">
        <v>3754</v>
      </c>
      <c r="E204" s="238">
        <f>VLOOKUP(D204,Tableaux!$BS:$BU,3,FALSE)</f>
        <v>0</v>
      </c>
      <c r="F204" s="238">
        <v>2</v>
      </c>
      <c r="G204" s="243" t="s">
        <v>3876</v>
      </c>
      <c r="H204" s="67" t="s">
        <v>3549</v>
      </c>
      <c r="I204" s="67" t="s">
        <v>3532</v>
      </c>
      <c r="J204" s="238" t="s">
        <v>4922</v>
      </c>
      <c r="K204" s="238" t="s">
        <v>3547</v>
      </c>
    </row>
    <row r="205" spans="1:11" ht="24" customHeight="1" x14ac:dyDescent="0.3">
      <c r="A205" s="240" t="s">
        <v>3536</v>
      </c>
      <c r="B205" s="240" t="str">
        <f>IF(OR(OR(Illumination=FALSE,déAme&lt;5),(AND(Syst.="Reloaded",Primes&lt;Atouts!E205))),"",A205)</f>
        <v/>
      </c>
      <c r="C205" s="238" t="s">
        <v>3743</v>
      </c>
      <c r="D205" s="238" t="s">
        <v>3754</v>
      </c>
      <c r="E205" s="238">
        <f>VLOOKUP(D205,Tableaux!$BS:$BU,3,FALSE)</f>
        <v>0</v>
      </c>
      <c r="F205" s="238">
        <v>2</v>
      </c>
      <c r="G205" s="243" t="s">
        <v>3876</v>
      </c>
      <c r="H205" s="67" t="s">
        <v>3551</v>
      </c>
      <c r="I205" s="67" t="s">
        <v>3535</v>
      </c>
      <c r="J205" s="238" t="s">
        <v>4922</v>
      </c>
      <c r="K205" s="238" t="s">
        <v>3547</v>
      </c>
    </row>
    <row r="206" spans="1:11" ht="24" customHeight="1" x14ac:dyDescent="0.3">
      <c r="A206" s="240" t="s">
        <v>3537</v>
      </c>
      <c r="B206" s="240" t="str">
        <f>IF(OR(OR(Illumination=FALSE,déAme&lt;5),(AND(Syst.="Reloaded",Primes&lt;Atouts!E206))),"",A206)</f>
        <v/>
      </c>
      <c r="C206" s="238" t="s">
        <v>3743</v>
      </c>
      <c r="D206" s="238" t="s">
        <v>3754</v>
      </c>
      <c r="E206" s="238">
        <f>VLOOKUP(D206,Tableaux!$BS:$BU,3,FALSE)</f>
        <v>0</v>
      </c>
      <c r="F206" s="238">
        <v>2</v>
      </c>
      <c r="G206" s="243" t="s">
        <v>3876</v>
      </c>
      <c r="H206" s="67" t="s">
        <v>3552</v>
      </c>
      <c r="I206" s="67" t="s">
        <v>3538</v>
      </c>
      <c r="J206" s="238" t="s">
        <v>4922</v>
      </c>
      <c r="K206" s="238" t="s">
        <v>3547</v>
      </c>
    </row>
    <row r="207" spans="1:11" ht="24" customHeight="1" x14ac:dyDescent="0.3">
      <c r="A207" s="240" t="s">
        <v>3539</v>
      </c>
      <c r="B207" s="240" t="str">
        <f>IF(OR(OR(Illumination=FALSE,déAme&lt;5),(AND(Syst.="Reloaded",Primes&lt;Atouts!E14))),"",A207)</f>
        <v/>
      </c>
      <c r="C207" s="238" t="s">
        <v>3743</v>
      </c>
      <c r="D207" s="238" t="s">
        <v>3754</v>
      </c>
      <c r="E207" s="238">
        <f>VLOOKUP(D207,Tableaux!$BS:$BU,3,FALSE)</f>
        <v>0</v>
      </c>
      <c r="F207" s="238">
        <v>2</v>
      </c>
      <c r="G207" s="243" t="s">
        <v>3876</v>
      </c>
      <c r="H207" s="67" t="s">
        <v>3553</v>
      </c>
      <c r="I207" s="67" t="s">
        <v>3540</v>
      </c>
      <c r="J207" s="238" t="s">
        <v>4922</v>
      </c>
      <c r="K207" s="238" t="s">
        <v>3547</v>
      </c>
    </row>
    <row r="208" spans="1:11" ht="24" customHeight="1" x14ac:dyDescent="0.3">
      <c r="A208" s="240" t="s">
        <v>3541</v>
      </c>
      <c r="B208" s="240" t="str">
        <f>IF(OR(OR(Illumination=FALSE,déAme&lt;5),(AND(Syst.="Reloaded",Primes&lt;Atouts!E208))),"",A208)</f>
        <v/>
      </c>
      <c r="C208" s="238" t="s">
        <v>3743</v>
      </c>
      <c r="D208" s="238" t="s">
        <v>3754</v>
      </c>
      <c r="E208" s="238">
        <f>VLOOKUP(D208,Tableaux!$BS:$BU,3,FALSE)</f>
        <v>0</v>
      </c>
      <c r="F208" s="238">
        <v>2</v>
      </c>
      <c r="G208" s="243" t="s">
        <v>3876</v>
      </c>
      <c r="H208" s="67" t="s">
        <v>3554</v>
      </c>
      <c r="I208" s="67" t="s">
        <v>3542</v>
      </c>
      <c r="J208" s="238" t="s">
        <v>4922</v>
      </c>
      <c r="K208" s="238" t="s">
        <v>3547</v>
      </c>
    </row>
    <row r="209" spans="1:11" ht="24" customHeight="1" x14ac:dyDescent="0.3">
      <c r="A209" s="240" t="s">
        <v>3543</v>
      </c>
      <c r="B209" s="240" t="str">
        <f>IF(OR(OR(Illumination=FALSE,déAme&lt;5),(AND(Syst.="Reloaded",Primes&lt;Atouts!E209))),"",A209)</f>
        <v/>
      </c>
      <c r="C209" s="238" t="s">
        <v>3743</v>
      </c>
      <c r="D209" s="238" t="s">
        <v>3754</v>
      </c>
      <c r="E209" s="238">
        <f>VLOOKUP(D209,Tableaux!$BS:$BU,3,FALSE)</f>
        <v>0</v>
      </c>
      <c r="F209" s="238">
        <v>2</v>
      </c>
      <c r="G209" s="243" t="s">
        <v>3876</v>
      </c>
      <c r="H209" s="67" t="s">
        <v>4923</v>
      </c>
      <c r="I209" s="67" t="s">
        <v>3544</v>
      </c>
      <c r="J209" s="238" t="s">
        <v>4922</v>
      </c>
      <c r="K209" s="238" t="s">
        <v>3547</v>
      </c>
    </row>
    <row r="210" spans="1:11" ht="24" customHeight="1" x14ac:dyDescent="0.3">
      <c r="A210" s="240" t="s">
        <v>4925</v>
      </c>
      <c r="B210" s="240" t="str">
        <f>IF(OR(OR(Illumination=FALSE,déAme&lt;5),(AND(Syst.="Reloaded",Primes&lt;Atouts!E210))),"",A210)</f>
        <v/>
      </c>
      <c r="C210" s="238" t="s">
        <v>3743</v>
      </c>
      <c r="D210" s="238" t="s">
        <v>3754</v>
      </c>
      <c r="E210" s="238">
        <f>VLOOKUP(D210,Tableaux!$BS:$BU,3,FALSE)</f>
        <v>0</v>
      </c>
      <c r="F210" s="238">
        <v>2</v>
      </c>
      <c r="G210" s="243" t="s">
        <v>3876</v>
      </c>
      <c r="H210" s="67" t="s">
        <v>3555</v>
      </c>
      <c r="I210" s="67" t="s">
        <v>3546</v>
      </c>
      <c r="J210" s="238" t="s">
        <v>4922</v>
      </c>
      <c r="K210" s="238" t="s">
        <v>3547</v>
      </c>
    </row>
    <row r="211" spans="1:11" ht="24" customHeight="1" x14ac:dyDescent="0.3">
      <c r="A211" s="240" t="s">
        <v>4917</v>
      </c>
      <c r="B211" s="240" t="str">
        <f>IF(AND(Syst.="Reloaded",Primes&lt;Atouts!E211),"",A211)</f>
        <v>"La Voix" Apaisante</v>
      </c>
      <c r="C211" s="238" t="s">
        <v>3750</v>
      </c>
      <c r="D211" s="238" t="s">
        <v>3754</v>
      </c>
      <c r="E211" s="238">
        <f>VLOOKUP(D211,Tableaux!$BS:$BU,3,FALSE)</f>
        <v>0</v>
      </c>
      <c r="F211" s="238">
        <v>1</v>
      </c>
      <c r="G211" s="399" t="s">
        <v>3168</v>
      </c>
      <c r="H211" s="68" t="s">
        <v>1057</v>
      </c>
      <c r="I211" s="68" t="s">
        <v>1057</v>
      </c>
      <c r="J211" s="238" t="s">
        <v>1005</v>
      </c>
      <c r="K211" s="242" t="s">
        <v>3168</v>
      </c>
    </row>
    <row r="212" spans="1:11" ht="24" customHeight="1" x14ac:dyDescent="0.3">
      <c r="A212" s="240" t="s">
        <v>1060</v>
      </c>
      <c r="B212" s="240" t="str">
        <f>IF(AND(Syst.="Reloaded",Primes&lt;Atouts!E212),"",A212)</f>
        <v>"La Voix" Effrayante</v>
      </c>
      <c r="C212" s="238" t="s">
        <v>3750</v>
      </c>
      <c r="D212" s="238" t="s">
        <v>3754</v>
      </c>
      <c r="E212" s="238">
        <f>VLOOKUP(D212,Tableaux!$BS:$BU,3,FALSE)</f>
        <v>0</v>
      </c>
      <c r="F212" s="238">
        <v>1</v>
      </c>
      <c r="G212" s="399" t="s">
        <v>3168</v>
      </c>
      <c r="H212" s="68" t="s">
        <v>1061</v>
      </c>
      <c r="I212" s="68" t="s">
        <v>3580</v>
      </c>
      <c r="J212" s="238" t="s">
        <v>1005</v>
      </c>
      <c r="K212" s="242" t="s">
        <v>3168</v>
      </c>
    </row>
    <row r="213" spans="1:11" ht="24" customHeight="1" x14ac:dyDescent="0.3">
      <c r="A213" s="240" t="s">
        <v>1058</v>
      </c>
      <c r="B213" s="240" t="str">
        <f>IF(AND(Syst.="Reloaded",Primes&lt;Atouts!E213),"",A213)</f>
        <v>"La Voix" Moqueuse</v>
      </c>
      <c r="C213" s="238" t="s">
        <v>3750</v>
      </c>
      <c r="D213" s="238" t="s">
        <v>3754</v>
      </c>
      <c r="E213" s="238">
        <f>VLOOKUP(D213,Tableaux!$BS:$BU,3,FALSE)</f>
        <v>0</v>
      </c>
      <c r="F213" s="238">
        <v>1</v>
      </c>
      <c r="G213" s="399" t="s">
        <v>3168</v>
      </c>
      <c r="H213" s="68" t="s">
        <v>1059</v>
      </c>
      <c r="I213" s="68" t="s">
        <v>3579</v>
      </c>
      <c r="J213" s="238" t="s">
        <v>1005</v>
      </c>
      <c r="K213" s="242" t="s">
        <v>3168</v>
      </c>
    </row>
    <row r="214" spans="1:11" ht="24" customHeight="1" x14ac:dyDescent="0.3">
      <c r="A214" s="240" t="s">
        <v>3364</v>
      </c>
      <c r="B214" s="240" t="str">
        <f>IF(AND(Syst.="Reloaded",Primes&lt;Atouts!E214),"",A214)</f>
        <v/>
      </c>
      <c r="C214" s="238" t="s">
        <v>3747</v>
      </c>
      <c r="D214" s="238" t="s">
        <v>2913</v>
      </c>
      <c r="E214" s="238">
        <f>VLOOKUP(D214,Tableaux!$BS:$BU,3,FALSE)</f>
        <v>80</v>
      </c>
      <c r="F214" s="238">
        <v>6</v>
      </c>
      <c r="G214" s="399" t="s">
        <v>3168</v>
      </c>
      <c r="H214" s="67" t="s">
        <v>3365</v>
      </c>
      <c r="I214" s="67" t="s">
        <v>4989</v>
      </c>
      <c r="J214" s="242" t="s">
        <v>3168</v>
      </c>
      <c r="K214" s="238" t="s">
        <v>3353</v>
      </c>
    </row>
    <row r="215" spans="1:11" ht="24" customHeight="1" x14ac:dyDescent="0.3">
      <c r="A215" s="240" t="s">
        <v>3500</v>
      </c>
      <c r="B215" s="240" t="str">
        <f>IF(OR(OR(occulte=FALSE),(AND(Syst.="Reloaded",Primes&lt;Atouts!E215))),"",A215)</f>
        <v/>
      </c>
      <c r="C215" s="238" t="s">
        <v>3748</v>
      </c>
      <c r="D215" s="238" t="s">
        <v>3754</v>
      </c>
      <c r="E215" s="238">
        <f>VLOOKUP(D215,Tableaux!$BS:$BU,3,FALSE)</f>
        <v>0</v>
      </c>
      <c r="F215" s="238">
        <v>2</v>
      </c>
      <c r="G215" s="243" t="s">
        <v>3503</v>
      </c>
      <c r="H215" s="67" t="s">
        <v>3506</v>
      </c>
      <c r="I215" s="67" t="s">
        <v>3505</v>
      </c>
      <c r="J215" s="68" t="s">
        <v>3168</v>
      </c>
      <c r="K215" s="238" t="s">
        <v>3498</v>
      </c>
    </row>
    <row r="216" spans="1:11" ht="24" customHeight="1" x14ac:dyDescent="0.3">
      <c r="A216" s="240" t="s">
        <v>3320</v>
      </c>
      <c r="B216" s="240" t="str">
        <f>IF(OR(OR(Cmd=FALSE,déAme&lt;8),(AND(Syst.="Reloaded",Primes&lt;Atouts!E216))),"",A216)</f>
        <v/>
      </c>
      <c r="C216" s="238" t="s">
        <v>3743</v>
      </c>
      <c r="D216" s="238" t="s">
        <v>3754</v>
      </c>
      <c r="E216" s="238">
        <f>VLOOKUP(D216,Tableaux!$BS:$BU,3,FALSE)</f>
        <v>0</v>
      </c>
      <c r="F216" s="238">
        <v>2</v>
      </c>
      <c r="G216" s="243" t="s">
        <v>3314</v>
      </c>
      <c r="H216" s="68" t="s">
        <v>3474</v>
      </c>
      <c r="I216" s="68" t="s">
        <v>3321</v>
      </c>
      <c r="J216" s="242" t="s">
        <v>3168</v>
      </c>
      <c r="K216" s="238" t="s">
        <v>3322</v>
      </c>
    </row>
    <row r="217" spans="1:11" ht="34.799999999999997" customHeight="1" x14ac:dyDescent="0.3">
      <c r="A217" s="240" t="s">
        <v>5168</v>
      </c>
      <c r="B217" s="240" t="str">
        <f>IF(OR(AND(Détérré=TRUE),(AND(Syst.="Reloaded",Primes&gt;Atouts!E217))),A217,"")</f>
        <v/>
      </c>
      <c r="C217" s="238" t="s">
        <v>3745</v>
      </c>
      <c r="D217" s="238" t="s">
        <v>3751</v>
      </c>
      <c r="E217" s="238">
        <f>VLOOKUP(D217,Tableaux!$BS:$BU,3,FALSE)</f>
        <v>20</v>
      </c>
      <c r="F217" s="238">
        <v>3</v>
      </c>
      <c r="G217" s="243" t="s">
        <v>307</v>
      </c>
      <c r="H217" s="68" t="s">
        <v>5178</v>
      </c>
      <c r="I217" s="68" t="s">
        <v>5178</v>
      </c>
      <c r="J217" s="242" t="s">
        <v>3168</v>
      </c>
      <c r="K217" s="238" t="s">
        <v>5179</v>
      </c>
    </row>
    <row r="218" spans="1:11" ht="24" customHeight="1" x14ac:dyDescent="0.3">
      <c r="A218" s="240" t="s">
        <v>3343</v>
      </c>
      <c r="B218" s="240" t="str">
        <f>IF(AND(Syst.="Reloaded",Primes&lt;Atouts!E218),"",A218)</f>
        <v>Lien animal</v>
      </c>
      <c r="C218" s="238" t="s">
        <v>3745</v>
      </c>
      <c r="D218" s="238" t="s">
        <v>3754</v>
      </c>
      <c r="E218" s="238">
        <f>VLOOKUP(D218,Tableaux!$BS:$BU,3,FALSE)</f>
        <v>0</v>
      </c>
      <c r="F218" s="238">
        <v>1</v>
      </c>
      <c r="G218" s="399" t="s">
        <v>3168</v>
      </c>
      <c r="H218" s="68" t="s">
        <v>3345</v>
      </c>
      <c r="I218" s="68" t="s">
        <v>3344</v>
      </c>
      <c r="J218" s="242" t="s">
        <v>3168</v>
      </c>
      <c r="K218" s="238" t="s">
        <v>3280</v>
      </c>
    </row>
    <row r="219" spans="1:11" ht="24" customHeight="1" x14ac:dyDescent="0.3">
      <c r="A219" s="240" t="s">
        <v>3404</v>
      </c>
      <c r="B219" s="240" t="str">
        <f>IF(OR(OR(déAme&lt;8),(AND(Syst.="Reloaded",Primes&lt;Atouts!E219))),"",A219)</f>
        <v/>
      </c>
      <c r="C219" s="238" t="s">
        <v>3750</v>
      </c>
      <c r="D219" s="238" t="s">
        <v>3754</v>
      </c>
      <c r="E219" s="238">
        <f>VLOOKUP(D219,Tableaux!$BS:$BU,3,FALSE)</f>
        <v>0</v>
      </c>
      <c r="F219" s="238">
        <v>2</v>
      </c>
      <c r="G219" s="243" t="s">
        <v>3282</v>
      </c>
      <c r="H219" s="68" t="s">
        <v>3406</v>
      </c>
      <c r="I219" s="68" t="s">
        <v>3405</v>
      </c>
      <c r="J219" s="242" t="s">
        <v>3168</v>
      </c>
      <c r="K219" s="238" t="s">
        <v>3396</v>
      </c>
    </row>
    <row r="220" spans="1:11" ht="24" customHeight="1" x14ac:dyDescent="0.3">
      <c r="A220" s="240" t="str">
        <f>IF(OR(SexePerso="Féminin",'Perso Reloaded'!$C$6="Féminin"),"Limière de la roche","Limier de la roche")</f>
        <v>Limier de la roche</v>
      </c>
      <c r="B220" s="240" t="str">
        <f>IF(OR(OR(déAme&lt;8),(AND(Syst.="Reloaded",Primes&lt;Atouts!E220))),"",A220)</f>
        <v/>
      </c>
      <c r="C220" s="238" t="s">
        <v>3745</v>
      </c>
      <c r="D220" s="238" t="s">
        <v>3754</v>
      </c>
      <c r="E220" s="238">
        <f>VLOOKUP(D220,Tableaux!$BS:$BU,3,FALSE)</f>
        <v>0</v>
      </c>
      <c r="F220" s="238">
        <v>1</v>
      </c>
      <c r="G220" s="243" t="s">
        <v>4739</v>
      </c>
      <c r="H220" s="68" t="s">
        <v>4741</v>
      </c>
      <c r="I220" s="68" t="s">
        <v>4740</v>
      </c>
      <c r="J220" s="242" t="s">
        <v>3168</v>
      </c>
      <c r="K220" s="238" t="s">
        <v>4696</v>
      </c>
    </row>
    <row r="221" spans="1:11" ht="24" customHeight="1" x14ac:dyDescent="0.3">
      <c r="A221" s="240" t="s">
        <v>5174</v>
      </c>
      <c r="B221" s="240" t="str">
        <f>IF(OR(AND(Détérré=TRUE),(AND(Syst.="Reloaded",Primes&gt;Atouts!E221))),A221,"")</f>
        <v/>
      </c>
      <c r="C221" s="238" t="s">
        <v>3745</v>
      </c>
      <c r="D221" s="238" t="s">
        <v>3754</v>
      </c>
      <c r="E221" s="238">
        <f>VLOOKUP(D221,Tableaux!$BS:$BU,3,FALSE)</f>
        <v>0</v>
      </c>
      <c r="F221" s="238">
        <v>2</v>
      </c>
      <c r="G221" s="243" t="s">
        <v>307</v>
      </c>
      <c r="H221" s="68" t="s">
        <v>5189</v>
      </c>
      <c r="I221" s="68" t="s">
        <v>5189</v>
      </c>
      <c r="J221" s="242" t="s">
        <v>3168</v>
      </c>
      <c r="K221" s="238" t="s">
        <v>5190</v>
      </c>
    </row>
    <row r="222" spans="1:11" ht="24" customHeight="1" x14ac:dyDescent="0.3">
      <c r="A222" s="240" t="s">
        <v>3472</v>
      </c>
      <c r="B222" s="240" t="str">
        <f>IF(OR(OR(occulte=FALSE),(AND(Syst.="Reloaded",Primes&lt;Atouts!E222))),"",A222)</f>
        <v/>
      </c>
      <c r="C222" s="238" t="s">
        <v>3749</v>
      </c>
      <c r="D222" s="238" t="s">
        <v>3754</v>
      </c>
      <c r="E222" s="238">
        <f>VLOOKUP(D222,Tableaux!$BS:$BU,3,FALSE)</f>
        <v>0</v>
      </c>
      <c r="F222" s="238">
        <v>3</v>
      </c>
      <c r="G222" s="243" t="s">
        <v>3504</v>
      </c>
      <c r="H222" s="68" t="s">
        <v>4926</v>
      </c>
      <c r="I222" s="68" t="s">
        <v>3473</v>
      </c>
      <c r="J222" s="242"/>
      <c r="K222" s="242" t="s">
        <v>3168</v>
      </c>
    </row>
    <row r="223" spans="1:11" ht="24" customHeight="1" x14ac:dyDescent="0.3">
      <c r="A223" s="240" t="s">
        <v>3374</v>
      </c>
      <c r="B223" s="240" t="str">
        <f>IF(AND(Syst.="Reloaded",Primes&lt;Atouts!E223),"",A223)</f>
        <v/>
      </c>
      <c r="C223" s="238" t="s">
        <v>3747</v>
      </c>
      <c r="D223" s="238" t="s">
        <v>2913</v>
      </c>
      <c r="E223" s="238">
        <f>VLOOKUP(D223,Tableaux!$BS:$BU,3,FALSE)</f>
        <v>80</v>
      </c>
      <c r="F223" s="238">
        <v>5</v>
      </c>
      <c r="G223" s="399" t="s">
        <v>3168</v>
      </c>
      <c r="H223" s="68" t="s">
        <v>3375</v>
      </c>
      <c r="I223" s="68" t="s">
        <v>3833</v>
      </c>
      <c r="J223" s="242" t="s">
        <v>3168</v>
      </c>
      <c r="K223" s="238" t="s">
        <v>3353</v>
      </c>
    </row>
    <row r="224" spans="1:11" ht="37.200000000000003" customHeight="1" x14ac:dyDescent="0.3">
      <c r="A224" s="240" t="s">
        <v>5175</v>
      </c>
      <c r="B224" s="240" t="str">
        <f>IF(OR(AND(Détérré=TRUE),(AND(Syst.="Reloaded",Primes&gt;Atouts!E224))),A224,"")</f>
        <v/>
      </c>
      <c r="C224" s="238" t="s">
        <v>3745</v>
      </c>
      <c r="D224" s="238" t="s">
        <v>2913</v>
      </c>
      <c r="E224" s="238">
        <f>VLOOKUP(D224,Tableaux!$BS:$BU,3,FALSE)</f>
        <v>80</v>
      </c>
      <c r="F224" s="238">
        <v>6</v>
      </c>
      <c r="G224" s="399" t="s">
        <v>307</v>
      </c>
      <c r="H224" s="68" t="str">
        <f>CONCATENATE("Permet de contrôler des morceaux de soi-même à distance dans un rayon égal à ",déIntellect*5,"  ou ",déIntellect*10," mètres sur une Relance. En cas d'échec un subit une blessure automatique et le Handicap adéquat jusqu'à ce qu'il recolle le morceau ou le fasse repousser.")</f>
        <v>Permet de contrôler des morceaux de soi-même à distance dans un rayon égal à 0  ou 0 mètres sur une Relance. En cas d'échec un subit une blessure automatique et le Handicap adéquat jusqu'à ce qu'il recolle le morceau ou le fasse repousser.</v>
      </c>
      <c r="I224" s="68" t="str">
        <f>CONCATENATE("Permet de contrôler des morceaux de soi-même à distance dans un rayon égal à ",déIntellect*5,"  ou ",déIntellect*10," mètres sur une Relance. En cas d'échec un subit une blessure automatique et le Handicap adéquat jusqu'à ce qu'il recolle le morceau ou le fasse repousser.")</f>
        <v>Permet de contrôler des morceaux de soi-même à distance dans un rayon égal à 0  ou 0 mètres sur une Relance. En cas d'échec un subit une blessure automatique et le Handicap adéquat jusqu'à ce qu'il recolle le morceau ou le fasse repousser.</v>
      </c>
      <c r="J224" s="242" t="s">
        <v>3168</v>
      </c>
      <c r="K224" s="238" t="s">
        <v>5190</v>
      </c>
    </row>
    <row r="225" spans="1:11" ht="24" customHeight="1" x14ac:dyDescent="0.3">
      <c r="A225" s="240" t="s">
        <v>3386</v>
      </c>
      <c r="B225" s="240" t="str">
        <f>IF(OR(OR(expert=FALSE),(AND(Syst.="Reloaded",Primes&lt;Atouts!E225))),"",A225)</f>
        <v/>
      </c>
      <c r="C225" s="238" t="s">
        <v>3747</v>
      </c>
      <c r="D225" s="238" t="s">
        <v>2913</v>
      </c>
      <c r="E225" s="238">
        <f>VLOOKUP(D225,Tableaux!$BS:$BU,3,FALSE)</f>
        <v>80</v>
      </c>
      <c r="F225" s="238">
        <v>5</v>
      </c>
      <c r="G225" s="243" t="s">
        <v>4217</v>
      </c>
      <c r="H225" s="67" t="s">
        <v>3388</v>
      </c>
      <c r="I225" s="67" t="s">
        <v>3387</v>
      </c>
      <c r="J225" s="242" t="s">
        <v>3168</v>
      </c>
      <c r="K225" s="238" t="s">
        <v>3353</v>
      </c>
    </row>
    <row r="226" spans="1:11" ht="40.200000000000003" customHeight="1" x14ac:dyDescent="0.3">
      <c r="A226" s="240" t="s">
        <v>5276</v>
      </c>
      <c r="B226" s="240" t="str">
        <f>IF(OR(OR(sciencefolle=FALSE,Calc!U90=FALSE),(AND(Syst.="Reloaded",Primes&lt;Atouts!E226))),"",A226)</f>
        <v/>
      </c>
      <c r="C226" s="238" t="s">
        <v>3745</v>
      </c>
      <c r="D226" s="238" t="s">
        <v>3752</v>
      </c>
      <c r="E226" s="238">
        <f>VLOOKUP(D226,Tableaux!$BS:$BU,3,FALSE)</f>
        <v>40</v>
      </c>
      <c r="F226" s="238">
        <v>40</v>
      </c>
      <c r="G226" s="243" t="s">
        <v>5277</v>
      </c>
      <c r="H226" s="67" t="s">
        <v>5278</v>
      </c>
      <c r="I226" s="67" t="s">
        <v>5278</v>
      </c>
      <c r="J226" s="242" t="s">
        <v>3168</v>
      </c>
      <c r="K226" s="238" t="s">
        <v>5142</v>
      </c>
    </row>
    <row r="227" spans="1:11" ht="24" customHeight="1" x14ac:dyDescent="0.3">
      <c r="A227" s="240" t="s">
        <v>3376</v>
      </c>
      <c r="B227" s="240" t="str">
        <f>IF(AND(Syst.="Reloaded",Primes&lt;Atouts!E227),"",A227)</f>
        <v/>
      </c>
      <c r="C227" s="238" t="s">
        <v>3747</v>
      </c>
      <c r="D227" s="238" t="s">
        <v>2913</v>
      </c>
      <c r="E227" s="238">
        <f>VLOOKUP(D227,Tableaux!$BS:$BU,3,FALSE)</f>
        <v>80</v>
      </c>
      <c r="F227" s="238">
        <v>5</v>
      </c>
      <c r="G227" s="243" t="s">
        <v>3378</v>
      </c>
      <c r="H227" s="68" t="s">
        <v>3381</v>
      </c>
      <c r="I227" s="68" t="s">
        <v>3379</v>
      </c>
      <c r="J227" s="242" t="s">
        <v>3168</v>
      </c>
      <c r="K227" s="238" t="s">
        <v>3353</v>
      </c>
    </row>
    <row r="228" spans="1:11" ht="24" customHeight="1" x14ac:dyDescent="0.3">
      <c r="A228" s="240" t="s">
        <v>3377</v>
      </c>
      <c r="B228" s="240" t="str">
        <f>IF(OR(OR(mda=FALSE),(AND(Syst.="Reloaded",Primes&lt;Atouts!E228))),"",A228)</f>
        <v/>
      </c>
      <c r="C228" s="238" t="s">
        <v>3747</v>
      </c>
      <c r="D228" s="238" t="s">
        <v>2913</v>
      </c>
      <c r="E228" s="238">
        <f>VLOOKUP(D228,Tableaux!$BS:$BU,3,FALSE)</f>
        <v>80</v>
      </c>
      <c r="F228" s="238">
        <v>5</v>
      </c>
      <c r="G228" s="243" t="s">
        <v>3376</v>
      </c>
      <c r="H228" s="68" t="s">
        <v>3382</v>
      </c>
      <c r="I228" s="68" t="s">
        <v>3380</v>
      </c>
      <c r="J228" s="242" t="s">
        <v>3168</v>
      </c>
      <c r="K228" s="238" t="s">
        <v>3353</v>
      </c>
    </row>
    <row r="229" spans="1:11" ht="34.200000000000003" customHeight="1" x14ac:dyDescent="0.3">
      <c r="A229" s="240" t="s">
        <v>3346</v>
      </c>
      <c r="B229" s="240" t="str">
        <f>IF(OR(OR(déAme&lt;8),(AND(Syst.="Reloaded",Primes&lt;Atouts!E229))),"",A229)</f>
        <v/>
      </c>
      <c r="C229" s="238" t="s">
        <v>3745</v>
      </c>
      <c r="D229" s="238" t="s">
        <v>3754</v>
      </c>
      <c r="E229" s="238">
        <f>VLOOKUP(D229,Tableaux!$BS:$BU,3,FALSE)</f>
        <v>0</v>
      </c>
      <c r="F229" s="238">
        <v>2</v>
      </c>
      <c r="G229" s="243" t="s">
        <v>3176</v>
      </c>
      <c r="H229" s="68" t="s">
        <v>4905</v>
      </c>
      <c r="I229" s="68" t="s">
        <v>4905</v>
      </c>
      <c r="J229" s="242" t="s">
        <v>3168</v>
      </c>
      <c r="K229" s="238" t="s">
        <v>3280</v>
      </c>
    </row>
    <row r="230" spans="1:11" ht="45" customHeight="1" x14ac:dyDescent="0.3">
      <c r="A230" s="240" t="s">
        <v>5176</v>
      </c>
      <c r="B230" s="240" t="str">
        <f>IF(OR(AND(Détérré=TRUE),(AND(Syst.="Reloaded",Primes&gt;Atouts!E230))),A230,"")</f>
        <v/>
      </c>
      <c r="C230" s="238" t="s">
        <v>3745</v>
      </c>
      <c r="D230" s="238" t="s">
        <v>3754</v>
      </c>
      <c r="E230" s="238">
        <f>VLOOKUP(D230,Tableaux!$BS:$BU,3,FALSE)</f>
        <v>0</v>
      </c>
      <c r="F230" s="238">
        <v>3</v>
      </c>
      <c r="G230" s="243" t="s">
        <v>5183</v>
      </c>
      <c r="H230" s="68" t="s">
        <v>5191</v>
      </c>
      <c r="I230" s="68" t="s">
        <v>5191</v>
      </c>
      <c r="J230" s="242" t="s">
        <v>3168</v>
      </c>
      <c r="K230" s="238" t="s">
        <v>5190</v>
      </c>
    </row>
    <row r="231" spans="1:11" ht="34.200000000000003" customHeight="1" x14ac:dyDescent="0.3">
      <c r="A231" s="240" t="s">
        <v>5177</v>
      </c>
      <c r="B231" s="240" t="str">
        <f>IF(OR(AND(Détérré=TRUE,Calc!U227=TRUE),(AND(Syst.="Reloaded",Primes&gt;Atouts!E231))),A231,"")</f>
        <v/>
      </c>
      <c r="C231" s="238" t="s">
        <v>3745</v>
      </c>
      <c r="D231" s="238" t="s">
        <v>3752</v>
      </c>
      <c r="E231" s="238">
        <f>VLOOKUP(D231,Tableaux!$BS:$BU,3,FALSE)</f>
        <v>40</v>
      </c>
      <c r="F231" s="238">
        <v>5</v>
      </c>
      <c r="G231" s="243" t="s">
        <v>5182</v>
      </c>
      <c r="H231" s="68" t="s">
        <v>5193</v>
      </c>
      <c r="I231" s="68" t="s">
        <v>5193</v>
      </c>
      <c r="J231" s="242" t="s">
        <v>3168</v>
      </c>
      <c r="K231" s="238" t="s">
        <v>5192</v>
      </c>
    </row>
    <row r="232" spans="1:11" ht="24" customHeight="1" x14ac:dyDescent="0.3">
      <c r="A232" s="240" t="str">
        <f>IF(OR(SexePerso="Féminin",'Perso Reloaded'!$C$6="Féminin"),"Mecano/Bidouilleuse","Mecano/Bidouilleur")</f>
        <v>Mecano/Bidouilleur</v>
      </c>
      <c r="B232" s="240" t="str">
        <f>IF(OR(OR(sciencefolle=FALSE),(AND(Syst.="Reloaded",Primes&lt;Atouts!E232))),"",A232)</f>
        <v/>
      </c>
      <c r="C232" s="238" t="s">
        <v>3749</v>
      </c>
      <c r="D232" s="238" t="s">
        <v>3754</v>
      </c>
      <c r="E232" s="238">
        <f>VLOOKUP(D232,Tableaux!$BS:$BU,3,FALSE)</f>
        <v>0</v>
      </c>
      <c r="F232" s="238">
        <v>1</v>
      </c>
      <c r="G232" s="243" t="s">
        <v>3446</v>
      </c>
      <c r="H232" s="68" t="s">
        <v>1503</v>
      </c>
      <c r="I232" s="68" t="s">
        <v>3834</v>
      </c>
      <c r="J232" s="238" t="s">
        <v>1005</v>
      </c>
      <c r="K232" s="238" t="s">
        <v>3438</v>
      </c>
    </row>
    <row r="233" spans="1:11" ht="24" customHeight="1" x14ac:dyDescent="0.3">
      <c r="A233" s="240" t="str">
        <f>IF(OR(SexePerso="Féminin",'Perso Reloaded'!$C$6="Féminin"),"Meneuse d'Hommes","Meneur d'Hommes")</f>
        <v>Meneur d'Hommes</v>
      </c>
      <c r="B233" s="240" t="str">
        <f>IF(OR(OR(Cmd=FALSE),(AND(Syst.="Reloaded",Primes&lt;Atouts!E233))),"",A233)</f>
        <v/>
      </c>
      <c r="C233" s="238" t="s">
        <v>3744</v>
      </c>
      <c r="D233" s="238" t="s">
        <v>3752</v>
      </c>
      <c r="E233" s="238">
        <f>VLOOKUP(D233,Tableaux!$BS:$BU,3,FALSE)</f>
        <v>40</v>
      </c>
      <c r="F233" s="238">
        <v>5</v>
      </c>
      <c r="G233" s="243" t="s">
        <v>3155</v>
      </c>
      <c r="H233" s="68" t="s">
        <v>4927</v>
      </c>
      <c r="I233" s="68" t="s">
        <v>3323</v>
      </c>
      <c r="J233" s="242" t="s">
        <v>3168</v>
      </c>
      <c r="K233" s="238" t="s">
        <v>3322</v>
      </c>
    </row>
    <row r="234" spans="1:11" ht="24" customHeight="1" x14ac:dyDescent="0.3">
      <c r="A234" s="240" t="s">
        <v>270</v>
      </c>
      <c r="B234" s="240" t="str">
        <f>IF(AND(Syst.="Reloaded",Primes&lt;Atouts!E234),"",A234)</f>
        <v>Mœurs locales</v>
      </c>
      <c r="C234" s="238" t="s">
        <v>3750</v>
      </c>
      <c r="D234" s="238" t="s">
        <v>3754</v>
      </c>
      <c r="E234" s="238">
        <f>VLOOKUP(D234,Tableaux!$BS:$BU,3,FALSE)</f>
        <v>0</v>
      </c>
      <c r="F234" s="238">
        <v>1</v>
      </c>
      <c r="G234" s="399" t="s">
        <v>3168</v>
      </c>
      <c r="H234" s="67" t="s">
        <v>1062</v>
      </c>
      <c r="I234" s="67" t="s">
        <v>1062</v>
      </c>
      <c r="J234" s="238" t="s">
        <v>1005</v>
      </c>
      <c r="K234" s="242" t="s">
        <v>3168</v>
      </c>
    </row>
    <row r="235" spans="1:11" ht="24" customHeight="1" x14ac:dyDescent="0.3">
      <c r="A235" s="240" t="s">
        <v>271</v>
      </c>
      <c r="B235" s="240" t="str">
        <f>IF(AND(Syst.="Reloaded",Primes&lt;Atouts!E235),"",A235)</f>
        <v>Mœurs locales (culture étrangère)</v>
      </c>
      <c r="C235" s="238" t="s">
        <v>3750</v>
      </c>
      <c r="D235" s="238" t="s">
        <v>3754</v>
      </c>
      <c r="E235" s="238">
        <f>VLOOKUP(D235,Tableaux!$BS:$BU,3,FALSE)</f>
        <v>0</v>
      </c>
      <c r="F235" s="238">
        <v>2</v>
      </c>
      <c r="G235" s="399" t="s">
        <v>3168</v>
      </c>
      <c r="H235" s="67" t="s">
        <v>1062</v>
      </c>
      <c r="I235" s="67" t="s">
        <v>1062</v>
      </c>
      <c r="J235" s="238" t="s">
        <v>1005</v>
      </c>
      <c r="K235" s="242" t="s">
        <v>3168</v>
      </c>
    </row>
    <row r="236" spans="1:11" ht="24" customHeight="1" x14ac:dyDescent="0.3">
      <c r="A236" s="240" t="s">
        <v>276</v>
      </c>
      <c r="B236" s="240" t="str">
        <f>IF(OR(OR(trèsriche=FALSE),(AND(Syst.="Reloaded",Primes&lt;Atouts!E236))),"",A236)</f>
        <v/>
      </c>
      <c r="C236" s="238" t="s">
        <v>3755</v>
      </c>
      <c r="D236" s="238" t="s">
        <v>3752</v>
      </c>
      <c r="E236" s="238">
        <f>VLOOKUP(D236,Tableaux!$BS:$BU,3,FALSE)</f>
        <v>40</v>
      </c>
      <c r="F236" s="238">
        <v>4</v>
      </c>
      <c r="G236" s="243" t="s">
        <v>3187</v>
      </c>
      <c r="H236" s="67" t="s">
        <v>1067</v>
      </c>
      <c r="I236" s="67" t="s">
        <v>3190</v>
      </c>
      <c r="J236" s="238" t="s">
        <v>1005</v>
      </c>
      <c r="K236" s="238" t="s">
        <v>3173</v>
      </c>
    </row>
    <row r="237" spans="1:11" ht="24" customHeight="1" x14ac:dyDescent="0.3">
      <c r="A237" s="240" t="s">
        <v>272</v>
      </c>
      <c r="B237" s="240" t="str">
        <f>IF(OR(OR(extriche=FALSE),(AND(Syst.="Reloaded",Primes&lt;Atouts!E237))),"",A237)</f>
        <v/>
      </c>
      <c r="C237" s="238" t="s">
        <v>3755</v>
      </c>
      <c r="D237" s="238" t="s">
        <v>2913</v>
      </c>
      <c r="E237" s="238">
        <f>VLOOKUP(D237,Tableaux!$BS:$BU,3,FALSE)</f>
        <v>80</v>
      </c>
      <c r="F237" s="238">
        <v>5</v>
      </c>
      <c r="G237" s="243" t="s">
        <v>3188</v>
      </c>
      <c r="H237" s="67" t="s">
        <v>1068</v>
      </c>
      <c r="I237" s="67" t="s">
        <v>3191</v>
      </c>
      <c r="J237" s="238" t="s">
        <v>1005</v>
      </c>
      <c r="K237" s="238" t="s">
        <v>3173</v>
      </c>
    </row>
    <row r="238" spans="1:11" ht="24" customHeight="1" x14ac:dyDescent="0.3">
      <c r="A238" s="240" t="s">
        <v>273</v>
      </c>
      <c r="B238" s="240" t="str">
        <f>IF(AND(Syst.="Reloaded",Primes&lt;Atouts!E238),"",A238)</f>
        <v>Money, Money (petit riche)</v>
      </c>
      <c r="C238" s="238" t="s">
        <v>3755</v>
      </c>
      <c r="D238" s="238" t="s">
        <v>3754</v>
      </c>
      <c r="E238" s="238">
        <f>VLOOKUP(D238,Tableaux!$BS:$BU,3,FALSE)</f>
        <v>0</v>
      </c>
      <c r="F238" s="238">
        <v>1</v>
      </c>
      <c r="G238" s="399" t="s">
        <v>3168</v>
      </c>
      <c r="H238" s="67" t="s">
        <v>1064</v>
      </c>
      <c r="I238" s="67" t="s">
        <v>3189</v>
      </c>
      <c r="J238" s="238" t="s">
        <v>1005</v>
      </c>
      <c r="K238" s="238" t="s">
        <v>3173</v>
      </c>
    </row>
    <row r="239" spans="1:11" ht="24" customHeight="1" x14ac:dyDescent="0.3">
      <c r="A239" s="240" t="s">
        <v>274</v>
      </c>
      <c r="B239" s="240" t="str">
        <f>IF(OR(OR(petiriche=FALSE),(AND(Syst.="Reloaded",Primes&lt;Atouts!E239))),"",A239)</f>
        <v/>
      </c>
      <c r="C239" s="238" t="s">
        <v>3755</v>
      </c>
      <c r="D239" s="238" t="s">
        <v>3754</v>
      </c>
      <c r="E239" s="238">
        <f>VLOOKUP(D239,Tableaux!$BS:$BU,3,FALSE)</f>
        <v>0</v>
      </c>
      <c r="F239" s="238">
        <v>2</v>
      </c>
      <c r="G239" s="243" t="s">
        <v>3186</v>
      </c>
      <c r="H239" s="67" t="s">
        <v>1065</v>
      </c>
      <c r="I239" s="67" t="s">
        <v>3183</v>
      </c>
      <c r="J239" s="238" t="s">
        <v>1005</v>
      </c>
      <c r="K239" s="238" t="s">
        <v>3173</v>
      </c>
    </row>
    <row r="240" spans="1:11" ht="24" customHeight="1" x14ac:dyDescent="0.3">
      <c r="A240" s="240" t="s">
        <v>275</v>
      </c>
      <c r="B240" s="240" t="str">
        <f>IF(OR(OR(riche=FALSE),(AND(Syst.="Reloaded",Primes&lt;Atouts!E240))),"",A240)</f>
        <v/>
      </c>
      <c r="C240" s="238" t="s">
        <v>3755</v>
      </c>
      <c r="D240" s="238" t="s">
        <v>3754</v>
      </c>
      <c r="E240" s="238">
        <f>VLOOKUP(D240,Tableaux!$BS:$BU,3,FALSE)</f>
        <v>0</v>
      </c>
      <c r="F240" s="238">
        <v>3</v>
      </c>
      <c r="G240" s="243" t="s">
        <v>3185</v>
      </c>
      <c r="H240" s="67" t="s">
        <v>1066</v>
      </c>
      <c r="I240" s="67" t="s">
        <v>3184</v>
      </c>
      <c r="J240" s="238" t="s">
        <v>1005</v>
      </c>
      <c r="K240" s="238" t="s">
        <v>3173</v>
      </c>
    </row>
    <row r="241" spans="1:11" ht="24" customHeight="1" x14ac:dyDescent="0.3">
      <c r="A241" s="240" t="s">
        <v>4432</v>
      </c>
      <c r="B241" s="240" t="str">
        <f>IF(OR(OR(florentine=FALSE,déPerception&lt;8),(AND(Syst.="Reloaded",Primes&lt;Atouts!E241))),"",A241)</f>
        <v/>
      </c>
      <c r="C241" s="238" t="s">
        <v>3743</v>
      </c>
      <c r="D241" s="238" t="s">
        <v>3752</v>
      </c>
      <c r="E241" s="238">
        <f>VLOOKUP(D241,Tableaux!$BS:$BU,3,FALSE)</f>
        <v>40</v>
      </c>
      <c r="F241" s="238">
        <v>5</v>
      </c>
      <c r="G241" s="243" t="s">
        <v>4433</v>
      </c>
      <c r="H241" s="67" t="s">
        <v>4434</v>
      </c>
      <c r="I241" s="67" t="s">
        <v>4434</v>
      </c>
      <c r="J241" s="242" t="s">
        <v>3168</v>
      </c>
      <c r="K241" s="238" t="s">
        <v>4431</v>
      </c>
    </row>
    <row r="242" spans="1:11" ht="24" customHeight="1" x14ac:dyDescent="0.3">
      <c r="A242" s="240" t="str">
        <f>IF(OR(SexePerso="Féminin",'Perso Reloaded'!$C$6="Féminin"),"Née à cheval","Né à cheval")</f>
        <v>Né à cheval</v>
      </c>
      <c r="B242" s="240" t="str">
        <f>IF(OR(OR(EthniePerso&lt;&gt;"Indien",déAgilité&lt;8),(AND(Syst.="Reloaded",Primes&lt;Atouts!E242))),"",A242)</f>
        <v/>
      </c>
      <c r="C242" s="238" t="s">
        <v>3749</v>
      </c>
      <c r="D242" s="238" t="s">
        <v>3754</v>
      </c>
      <c r="E242" s="238">
        <f>VLOOKUP(D242,Tableaux!$BS:$BU,3,FALSE)</f>
        <v>0</v>
      </c>
      <c r="F242" s="238">
        <v>3</v>
      </c>
      <c r="G242" s="243" t="s">
        <v>5085</v>
      </c>
      <c r="H242" s="67" t="s">
        <v>1069</v>
      </c>
      <c r="I242" s="68" t="s">
        <v>5086</v>
      </c>
      <c r="J242" s="238" t="s">
        <v>1015</v>
      </c>
      <c r="K242" s="242" t="s">
        <v>5083</v>
      </c>
    </row>
    <row r="243" spans="1:11" ht="24" customHeight="1" x14ac:dyDescent="0.3">
      <c r="A243" s="240" t="s">
        <v>277</v>
      </c>
      <c r="B243" s="240" t="str">
        <f>IF(OR(OR(déVigueur&lt;8),(AND(Syst.="Reloaded",Primes&lt;Atouts!E243))),"",A243)</f>
        <v/>
      </c>
      <c r="C243" s="238" t="s">
        <v>3743</v>
      </c>
      <c r="D243" s="238" t="s">
        <v>3754</v>
      </c>
      <c r="E243" s="238">
        <f>VLOOKUP(D243,Tableaux!$BS:$BU,3,FALSE)</f>
        <v>0</v>
      </c>
      <c r="F243" s="238">
        <v>1</v>
      </c>
      <c r="G243" s="243" t="s">
        <v>3171</v>
      </c>
      <c r="H243" s="67" t="s">
        <v>1074</v>
      </c>
      <c r="I243" s="67" t="s">
        <v>3270</v>
      </c>
      <c r="J243" s="238" t="s">
        <v>1090</v>
      </c>
      <c r="K243" s="238" t="s">
        <v>3271</v>
      </c>
    </row>
    <row r="244" spans="1:11" ht="24" customHeight="1" x14ac:dyDescent="0.3">
      <c r="A244" s="240" t="s">
        <v>3267</v>
      </c>
      <c r="B244" s="240" t="str">
        <f>IF(OR(OR(Nda=FALSE),(AND(Syst.="Reloaded",Primes&lt;Atouts!E244))),"",A244)</f>
        <v/>
      </c>
      <c r="C244" s="238" t="s">
        <v>3743</v>
      </c>
      <c r="D244" s="238" t="s">
        <v>3754</v>
      </c>
      <c r="E244" s="238">
        <f>VLOOKUP(D244,Tableaux!$BS:$BU,3,FALSE)</f>
        <v>0</v>
      </c>
      <c r="F244" s="238">
        <v>3</v>
      </c>
      <c r="G244" s="243" t="s">
        <v>277</v>
      </c>
      <c r="H244" s="67" t="s">
        <v>3268</v>
      </c>
      <c r="I244" s="67" t="s">
        <v>3269</v>
      </c>
      <c r="J244" s="242" t="s">
        <v>3168</v>
      </c>
      <c r="K244" s="238" t="s">
        <v>3271</v>
      </c>
    </row>
    <row r="245" spans="1:11" ht="24" customHeight="1" x14ac:dyDescent="0.3">
      <c r="A245" s="240" t="s">
        <v>5279</v>
      </c>
      <c r="B245" s="240" t="str">
        <f>IF(OR(OR(déAme&lt;8,déVigueur&lt;8,Ferrailleur=FALSE),(AND(Syst.="Reloaded",Primes&lt;Atouts!E245))),"",A245)</f>
        <v/>
      </c>
      <c r="C245" s="238" t="s">
        <v>3747</v>
      </c>
      <c r="D245" s="238" t="s">
        <v>2913</v>
      </c>
      <c r="E245" s="238">
        <v>80</v>
      </c>
      <c r="F245" s="238">
        <v>5</v>
      </c>
      <c r="G245" s="243" t="s">
        <v>5280</v>
      </c>
      <c r="H245" s="67" t="s">
        <v>5281</v>
      </c>
      <c r="I245" s="67" t="s">
        <v>5281</v>
      </c>
      <c r="J245" s="242" t="s">
        <v>3168</v>
      </c>
      <c r="K245" s="238" t="s">
        <v>5282</v>
      </c>
    </row>
    <row r="246" spans="1:11" ht="24" customHeight="1" x14ac:dyDescent="0.3">
      <c r="A246" s="240" t="s">
        <v>3475</v>
      </c>
      <c r="B246" s="240" t="str">
        <f>IF(Syst.&lt;&gt;"Reloaded","","Nouveau Pouvoir")</f>
        <v>Nouveau Pouvoir</v>
      </c>
      <c r="C246" s="238" t="s">
        <v>3748</v>
      </c>
      <c r="D246" s="238" t="s">
        <v>3754</v>
      </c>
      <c r="E246" s="238">
        <f>VLOOKUP(D246,Tableaux!$BS:$BU,3,FALSE)</f>
        <v>0</v>
      </c>
      <c r="F246" s="238">
        <v>2</v>
      </c>
      <c r="G246" s="243" t="s">
        <v>3008</v>
      </c>
      <c r="H246" s="68" t="s">
        <v>3168</v>
      </c>
      <c r="I246" s="67" t="s">
        <v>4255</v>
      </c>
      <c r="J246" s="242" t="s">
        <v>3168</v>
      </c>
      <c r="K246" s="238" t="s">
        <v>3476</v>
      </c>
    </row>
    <row r="247" spans="1:11" ht="24" customHeight="1" x14ac:dyDescent="0.3">
      <c r="A247" s="240" t="s">
        <v>4928</v>
      </c>
      <c r="B247" s="240" t="str">
        <f>IF(AND(Syst.="Reloaded",Primes&lt;Atouts!E247),"",A247)</f>
        <v>Œil de lynx</v>
      </c>
      <c r="C247" s="238" t="s">
        <v>3755</v>
      </c>
      <c r="D247" s="238" t="s">
        <v>3754</v>
      </c>
      <c r="E247" s="238">
        <f>VLOOKUP(D247,Tableaux!$BS:$BU,3,FALSE)</f>
        <v>0</v>
      </c>
      <c r="F247" s="238">
        <v>1</v>
      </c>
      <c r="G247" s="399" t="s">
        <v>3168</v>
      </c>
      <c r="H247" s="68" t="s">
        <v>1075</v>
      </c>
      <c r="I247" s="68" t="s">
        <v>1075</v>
      </c>
      <c r="J247" s="238" t="s">
        <v>1090</v>
      </c>
      <c r="K247" s="242" t="s">
        <v>3168</v>
      </c>
    </row>
    <row r="248" spans="1:11" ht="24" customHeight="1" x14ac:dyDescent="0.3">
      <c r="A248" s="240" t="s">
        <v>4722</v>
      </c>
      <c r="B248" s="240" t="str">
        <f>IF(OR(OR(Arts_Martiaux=FALSE,déAgilité&lt;7),(AND(Syst.="Reloaded",Primes&lt;Atouts!E248))),"",A248)</f>
        <v/>
      </c>
      <c r="C248" s="238" t="s">
        <v>3743</v>
      </c>
      <c r="D248" s="238" t="s">
        <v>3752</v>
      </c>
      <c r="E248" s="238">
        <f>VLOOKUP(D248,Tableaux!$BS:$BU,3,FALSE)</f>
        <v>40</v>
      </c>
      <c r="F248" s="238">
        <v>5</v>
      </c>
      <c r="G248" s="399" t="s">
        <v>4723</v>
      </c>
      <c r="H248" s="68" t="s">
        <v>4724</v>
      </c>
      <c r="I248" s="68" t="s">
        <v>4724</v>
      </c>
      <c r="J248" s="242" t="s">
        <v>3168</v>
      </c>
      <c r="K248" s="242" t="s">
        <v>4695</v>
      </c>
    </row>
    <row r="249" spans="1:11" ht="24" customHeight="1" x14ac:dyDescent="0.3">
      <c r="A249" s="240" t="s">
        <v>279</v>
      </c>
      <c r="B249" s="240" t="str">
        <f>IF(AND(Syst.="Reloaded",Primes&lt;Atouts!E249),"",A249)</f>
        <v>Oreille fine</v>
      </c>
      <c r="C249" s="238" t="s">
        <v>3755</v>
      </c>
      <c r="D249" s="238" t="s">
        <v>3754</v>
      </c>
      <c r="E249" s="238">
        <f>VLOOKUP(D249,Tableaux!$BS:$BU,3,FALSE)</f>
        <v>0</v>
      </c>
      <c r="F249" s="238">
        <v>1</v>
      </c>
      <c r="G249" s="399" t="s">
        <v>3168</v>
      </c>
      <c r="H249" s="68" t="s">
        <v>1076</v>
      </c>
      <c r="I249" s="68" t="s">
        <v>1076</v>
      </c>
      <c r="J249" s="238" t="s">
        <v>1090</v>
      </c>
      <c r="K249" s="242" t="s">
        <v>3168</v>
      </c>
    </row>
    <row r="250" spans="1:11" ht="24" customHeight="1" x14ac:dyDescent="0.3">
      <c r="A250" s="240" t="s">
        <v>3286</v>
      </c>
      <c r="B250" s="240" t="str">
        <f>IF(OR(OR(déAme&lt;8),(AND(Syst.="Reloaded",Primes&lt;Atouts!E250))),"",A250)</f>
        <v/>
      </c>
      <c r="C250" s="238" t="s">
        <v>3743</v>
      </c>
      <c r="D250" s="238" t="s">
        <v>3754</v>
      </c>
      <c r="E250" s="238">
        <f>VLOOKUP(D250,Tableaux!$BS:$BU,3,FALSE)</f>
        <v>0</v>
      </c>
      <c r="F250" s="238">
        <v>2</v>
      </c>
      <c r="G250" s="243" t="s">
        <v>3176</v>
      </c>
      <c r="H250" s="68" t="s">
        <v>3288</v>
      </c>
      <c r="I250" s="68" t="s">
        <v>3287</v>
      </c>
      <c r="J250" s="242" t="s">
        <v>3168</v>
      </c>
      <c r="K250" s="238" t="s">
        <v>3271</v>
      </c>
    </row>
    <row r="251" spans="1:11" ht="24" customHeight="1" x14ac:dyDescent="0.3">
      <c r="A251" s="240" t="s">
        <v>4734</v>
      </c>
      <c r="B251" s="240" t="str">
        <f>IF(OR(OR(Arts_Martiaux=FALSE,Bloc2=FALSE),(AND(Syst.="Reloaded",Primes&lt;Atouts!E251))),"",A251)</f>
        <v/>
      </c>
      <c r="C251" s="238" t="s">
        <v>3743</v>
      </c>
      <c r="D251" s="238" t="s">
        <v>3753</v>
      </c>
      <c r="E251" s="238">
        <f>VLOOKUP(D251,Tableaux!$BS:$BU,3,FALSE)</f>
        <v>60</v>
      </c>
      <c r="F251" s="238">
        <v>4</v>
      </c>
      <c r="G251" s="243" t="s">
        <v>4735</v>
      </c>
      <c r="H251" s="68" t="s">
        <v>4736</v>
      </c>
      <c r="I251" s="68" t="s">
        <v>4736</v>
      </c>
      <c r="J251" s="242" t="s">
        <v>3168</v>
      </c>
      <c r="K251" s="242" t="s">
        <v>4696</v>
      </c>
    </row>
    <row r="252" spans="1:11" ht="24" customHeight="1" x14ac:dyDescent="0.3">
      <c r="A252" s="240" t="s">
        <v>1383</v>
      </c>
      <c r="B252" s="240" t="str">
        <f>IF(OR(OR(EthniePerso&lt;&gt;"Canadien"),(AND(Syst.="Reloaded",Primes&lt;Atouts!E252))),"",A252)</f>
        <v/>
      </c>
      <c r="C252" s="238" t="s">
        <v>3755</v>
      </c>
      <c r="D252" s="238" t="s">
        <v>3754</v>
      </c>
      <c r="E252" s="238">
        <f>VLOOKUP(D252,Tableaux!$BS:$BU,3,FALSE)</f>
        <v>0</v>
      </c>
      <c r="F252" s="238">
        <v>2</v>
      </c>
      <c r="G252" s="243" t="s">
        <v>302</v>
      </c>
      <c r="H252" s="68" t="s">
        <v>1504</v>
      </c>
      <c r="I252" s="68" t="s">
        <v>3581</v>
      </c>
      <c r="J252" s="238" t="s">
        <v>1017</v>
      </c>
      <c r="K252" s="242" t="s">
        <v>3168</v>
      </c>
    </row>
    <row r="253" spans="1:11" ht="24" customHeight="1" x14ac:dyDescent="0.3">
      <c r="A253" s="240" t="s">
        <v>280</v>
      </c>
      <c r="B253" s="240" t="str">
        <f>IF(AND(Syst.="Reloaded",Primes&lt;Atouts!E253),"",A253)</f>
        <v/>
      </c>
      <c r="C253" s="238" t="s">
        <v>3748</v>
      </c>
      <c r="D253" s="238" t="s">
        <v>3752</v>
      </c>
      <c r="E253" s="238">
        <f>VLOOKUP(D253,Tableaux!$BS:$BU,3,FALSE)</f>
        <v>40</v>
      </c>
      <c r="F253" s="238">
        <v>3</v>
      </c>
      <c r="G253" s="399" t="s">
        <v>3168</v>
      </c>
      <c r="H253" s="67" t="s">
        <v>1505</v>
      </c>
      <c r="I253" s="67" t="s">
        <v>4261</v>
      </c>
      <c r="J253" s="238" t="s">
        <v>1077</v>
      </c>
      <c r="K253" s="242" t="s">
        <v>3168</v>
      </c>
    </row>
    <row r="254" spans="1:11" ht="24" customHeight="1" x14ac:dyDescent="0.3">
      <c r="A254" s="240" t="s">
        <v>3636</v>
      </c>
      <c r="B254" s="240" t="str">
        <f>IF(OR(OR(déAme&lt;6),(AND(Syst.="Reloaded",Primes&lt;Atouts!E254))),"",A254)</f>
        <v/>
      </c>
      <c r="C254" s="238" t="s">
        <v>3755</v>
      </c>
      <c r="D254" s="238" t="s">
        <v>3754</v>
      </c>
      <c r="E254" s="238">
        <f>VLOOKUP(D254,Tableaux!$BS:$BU,3,FALSE)</f>
        <v>0</v>
      </c>
      <c r="F254" s="238">
        <v>2</v>
      </c>
      <c r="G254" s="243" t="s">
        <v>3161</v>
      </c>
      <c r="H254" s="68" t="s">
        <v>1078</v>
      </c>
      <c r="I254" s="68" t="s">
        <v>3162</v>
      </c>
      <c r="J254" s="238" t="s">
        <v>1005</v>
      </c>
      <c r="K254" s="238" t="s">
        <v>3160</v>
      </c>
    </row>
    <row r="255" spans="1:11" ht="24" customHeight="1" x14ac:dyDescent="0.3">
      <c r="A255" s="240" t="s">
        <v>3865</v>
      </c>
      <c r="B255" s="240" t="str">
        <f>IF(OR(OR(EthniePerso&lt;&gt;"Sudiste"),(AND(Syst.="Reloaded",Primes&lt;Atouts!E255))),"",A255)</f>
        <v/>
      </c>
      <c r="C255" s="238" t="s">
        <v>3749</v>
      </c>
      <c r="D255" s="238" t="s">
        <v>3754</v>
      </c>
      <c r="E255" s="238">
        <f>VLOOKUP(D255,Tableaux!$BS:$BU,3,FALSE)</f>
        <v>0</v>
      </c>
      <c r="F255" s="238">
        <v>2</v>
      </c>
      <c r="G255" s="243" t="s">
        <v>1004</v>
      </c>
      <c r="H255" s="68" t="s">
        <v>3604</v>
      </c>
      <c r="I255" s="68" t="s">
        <v>3604</v>
      </c>
      <c r="J255" s="238" t="s">
        <v>1003</v>
      </c>
      <c r="K255" s="242" t="s">
        <v>3168</v>
      </c>
    </row>
    <row r="256" spans="1:11" ht="24" customHeight="1" x14ac:dyDescent="0.3">
      <c r="A256" s="240" t="s">
        <v>3640</v>
      </c>
      <c r="B256" s="240" t="str">
        <f>IF(OR(OR(déAgilité&lt;8,Piedl3),(AND(Syst.="Reloaded",Primes&lt;Atouts!E256))),"",A256)</f>
        <v/>
      </c>
      <c r="C256" s="238" t="s">
        <v>3755</v>
      </c>
      <c r="D256" s="238" t="s">
        <v>3753</v>
      </c>
      <c r="E256" s="238">
        <f>VLOOKUP(D256,Tableaux!$BS:$BU,3,FALSE)</f>
        <v>60</v>
      </c>
      <c r="F256" s="238">
        <v>4</v>
      </c>
      <c r="G256" s="243" t="s">
        <v>3201</v>
      </c>
      <c r="H256" s="68" t="s">
        <v>1509</v>
      </c>
      <c r="I256" s="68" t="s">
        <v>3203</v>
      </c>
      <c r="J256" s="238" t="s">
        <v>1090</v>
      </c>
      <c r="K256" s="238" t="s">
        <v>3173</v>
      </c>
    </row>
    <row r="257" spans="1:11" ht="24" customHeight="1" x14ac:dyDescent="0.3">
      <c r="A257" s="240" t="s">
        <v>3641</v>
      </c>
      <c r="B257" s="240" t="str">
        <f>IF(OR(OR(déAgilité&lt;10,Piedl4),(AND(Syst.="Reloaded",Primes&lt;Atouts!E257))),"",A257)</f>
        <v/>
      </c>
      <c r="C257" s="238" t="s">
        <v>3755</v>
      </c>
      <c r="D257" s="238" t="s">
        <v>2913</v>
      </c>
      <c r="E257" s="238">
        <f>VLOOKUP(D257,Tableaux!$BS:$BU,3,FALSE)</f>
        <v>80</v>
      </c>
      <c r="F257" s="238">
        <v>5</v>
      </c>
      <c r="G257" s="243" t="s">
        <v>4929</v>
      </c>
      <c r="H257" s="68" t="s">
        <v>1573</v>
      </c>
      <c r="I257" s="68" t="s">
        <v>3204</v>
      </c>
      <c r="J257" s="238" t="s">
        <v>1090</v>
      </c>
      <c r="K257" s="238" t="s">
        <v>3173</v>
      </c>
    </row>
    <row r="258" spans="1:11" ht="24" customHeight="1" x14ac:dyDescent="0.3">
      <c r="A258" s="240" t="s">
        <v>3637</v>
      </c>
      <c r="B258" s="240" t="str">
        <f>IF(OR(OR(déAgilité&lt;6),(AND(Syst.="Reloaded",Primes&lt;Atouts!E258))),"",A258)</f>
        <v/>
      </c>
      <c r="C258" s="238" t="s">
        <v>3755</v>
      </c>
      <c r="D258" s="238" t="s">
        <v>3754</v>
      </c>
      <c r="E258" s="238">
        <f>VLOOKUP(D258,Tableaux!$BS:$BU,3,FALSE)</f>
        <v>0</v>
      </c>
      <c r="F258" s="238">
        <v>1</v>
      </c>
      <c r="G258" s="243" t="s">
        <v>3197</v>
      </c>
      <c r="H258" s="68" t="s">
        <v>1506</v>
      </c>
      <c r="I258" s="68" t="s">
        <v>3199</v>
      </c>
      <c r="J258" s="238" t="s">
        <v>1090</v>
      </c>
      <c r="K258" s="238" t="s">
        <v>3173</v>
      </c>
    </row>
    <row r="259" spans="1:11" ht="24" customHeight="1" x14ac:dyDescent="0.3">
      <c r="A259" s="240" t="s">
        <v>3638</v>
      </c>
      <c r="B259" s="240" t="str">
        <f>IF(OR(OR(déAgilité&lt;6,Piedl1),(AND(Syst.="Reloaded",Primes&lt;Atouts!E259))),"",A259)</f>
        <v/>
      </c>
      <c r="C259" s="238" t="s">
        <v>3755</v>
      </c>
      <c r="D259" s="238" t="s">
        <v>3754</v>
      </c>
      <c r="E259" s="238">
        <f>VLOOKUP(D259,Tableaux!$BS:$BU,3,FALSE)</f>
        <v>0</v>
      </c>
      <c r="F259" s="238">
        <v>2</v>
      </c>
      <c r="G259" s="243" t="s">
        <v>3198</v>
      </c>
      <c r="H259" s="68" t="s">
        <v>1507</v>
      </c>
      <c r="I259" s="68" t="s">
        <v>3196</v>
      </c>
      <c r="J259" s="238" t="s">
        <v>1090</v>
      </c>
      <c r="K259" s="238" t="s">
        <v>3173</v>
      </c>
    </row>
    <row r="260" spans="1:11" ht="24" customHeight="1" x14ac:dyDescent="0.3">
      <c r="A260" s="240" t="s">
        <v>3639</v>
      </c>
      <c r="B260" s="240" t="str">
        <f>IF(OR(OR(déAgilité&lt;6,Piedl2),(AND(Syst.="Reloaded",Primes&lt;Atouts!E260))),"",A260)</f>
        <v/>
      </c>
      <c r="C260" s="238" t="s">
        <v>3755</v>
      </c>
      <c r="D260" s="238" t="s">
        <v>3752</v>
      </c>
      <c r="E260" s="238">
        <f>VLOOKUP(D260,Tableaux!$BS:$BU,3,FALSE)</f>
        <v>40</v>
      </c>
      <c r="F260" s="238">
        <v>3</v>
      </c>
      <c r="G260" s="243" t="s">
        <v>3200</v>
      </c>
      <c r="H260" s="68" t="s">
        <v>1508</v>
      </c>
      <c r="I260" s="68" t="s">
        <v>3202</v>
      </c>
      <c r="J260" s="238" t="s">
        <v>1090</v>
      </c>
      <c r="K260" s="238" t="s">
        <v>3173</v>
      </c>
    </row>
    <row r="261" spans="1:11" ht="24" customHeight="1" x14ac:dyDescent="0.3">
      <c r="A261" s="240" t="s">
        <v>4705</v>
      </c>
      <c r="B261" s="240" t="str">
        <f>IF(OR(OR(Illumination=FALSE,déAgilité&lt;7,déCombat&lt;8),(AND(Syst.="Reloaded",Primes&lt;Atouts!E261))),"",A261)</f>
        <v/>
      </c>
      <c r="C261" s="238" t="s">
        <v>3743</v>
      </c>
      <c r="D261" s="238" t="s">
        <v>3752</v>
      </c>
      <c r="E261" s="238">
        <f>VLOOKUP(D261,Tableaux!$BS:$BU,3,FALSE)</f>
        <v>40</v>
      </c>
      <c r="F261" s="238">
        <v>5</v>
      </c>
      <c r="G261" s="243" t="s">
        <v>4708</v>
      </c>
      <c r="H261" s="68" t="s">
        <v>4711</v>
      </c>
      <c r="I261" s="68" t="s">
        <v>4709</v>
      </c>
      <c r="J261" s="242" t="s">
        <v>3168</v>
      </c>
      <c r="K261" s="242" t="s">
        <v>4694</v>
      </c>
    </row>
    <row r="262" spans="1:11" ht="24" customHeight="1" x14ac:dyDescent="0.3">
      <c r="A262" s="240" t="s">
        <v>4706</v>
      </c>
      <c r="B262" s="240" t="str">
        <f>IF(OR(OR(Illumination=FALSE,déAgilité&lt;7,déCombat&lt;8),(AND(Syst.="Reloaded",Primes&lt;Atouts!E262))),"",A262)</f>
        <v/>
      </c>
      <c r="C262" s="238" t="s">
        <v>3743</v>
      </c>
      <c r="D262" s="238" t="s">
        <v>3752</v>
      </c>
      <c r="E262" s="238">
        <f>VLOOKUP(D262,Tableaux!$BS:$BU,3,FALSE)</f>
        <v>40</v>
      </c>
      <c r="F262" s="238">
        <v>3</v>
      </c>
      <c r="G262" s="243" t="s">
        <v>4708</v>
      </c>
      <c r="H262" s="68" t="s">
        <v>4710</v>
      </c>
      <c r="I262" s="68" t="s">
        <v>4710</v>
      </c>
      <c r="J262" s="242" t="s">
        <v>3168</v>
      </c>
      <c r="K262" s="242" t="s">
        <v>4694</v>
      </c>
    </row>
    <row r="263" spans="1:11" ht="24" customHeight="1" x14ac:dyDescent="0.3">
      <c r="A263" s="240" t="s">
        <v>4707</v>
      </c>
      <c r="B263" s="240" t="str">
        <f>IF(OR(OR(Illumination=FALSE,déAgilité&lt;7,déCombat&lt;8),(AND(Syst.="Reloaded",Primes&lt;Atouts!E263))),"",A263)</f>
        <v/>
      </c>
      <c r="C263" s="238" t="s">
        <v>3743</v>
      </c>
      <c r="D263" s="238" t="s">
        <v>3752</v>
      </c>
      <c r="E263" s="238">
        <f>VLOOKUP(D263,Tableaux!$BS:$BU,3,FALSE)</f>
        <v>40</v>
      </c>
      <c r="F263" s="238">
        <v>3</v>
      </c>
      <c r="G263" s="243" t="s">
        <v>4708</v>
      </c>
      <c r="H263" s="68" t="s">
        <v>4930</v>
      </c>
      <c r="I263" s="68" t="s">
        <v>4931</v>
      </c>
      <c r="J263" s="242" t="s">
        <v>3168</v>
      </c>
      <c r="K263" s="242" t="s">
        <v>4694</v>
      </c>
    </row>
    <row r="264" spans="1:11" ht="33" customHeight="1" x14ac:dyDescent="0.3">
      <c r="A264" s="240" t="s">
        <v>5153</v>
      </c>
      <c r="B264" s="240" t="str">
        <f>IF(OR(AND(Détérré=TRUE,Calc!U56=TRUE),(AND(Syst.="Reloaded",Primes&gt;Atouts!E264))),A264,"")</f>
        <v/>
      </c>
      <c r="C264" s="238" t="s">
        <v>3745</v>
      </c>
      <c r="D264" s="238" t="s">
        <v>3753</v>
      </c>
      <c r="E264" s="238">
        <f>VLOOKUP(D264,Tableaux!$BS:$BU,3,FALSE)</f>
        <v>60</v>
      </c>
      <c r="F264" s="238">
        <v>4</v>
      </c>
      <c r="G264" s="243" t="s">
        <v>5157</v>
      </c>
      <c r="H264" s="68" t="s">
        <v>5154</v>
      </c>
      <c r="I264" s="68" t="s">
        <v>5155</v>
      </c>
      <c r="J264" s="242" t="s">
        <v>3168</v>
      </c>
      <c r="K264" s="238" t="s">
        <v>5156</v>
      </c>
    </row>
    <row r="265" spans="1:11" ht="24" customHeight="1" x14ac:dyDescent="0.3">
      <c r="A265" s="240" t="s">
        <v>3289</v>
      </c>
      <c r="B265" s="240" t="str">
        <f>IF(OR(OR(déAgilité&lt;8),(AND(Syst.="Reloaded",Primes&lt;Atouts!E265))),"",A265)</f>
        <v/>
      </c>
      <c r="C265" s="238" t="s">
        <v>3755</v>
      </c>
      <c r="D265" s="238" t="s">
        <v>3754</v>
      </c>
      <c r="E265" s="238">
        <f>VLOOKUP(D265,Tableaux!$BS:$BU,3,FALSE)</f>
        <v>0</v>
      </c>
      <c r="F265" s="238">
        <v>2</v>
      </c>
      <c r="G265" s="243" t="s">
        <v>3157</v>
      </c>
      <c r="H265" s="68" t="s">
        <v>3291</v>
      </c>
      <c r="I265" s="68" t="s">
        <v>3290</v>
      </c>
      <c r="J265" s="242" t="s">
        <v>3168</v>
      </c>
      <c r="K265" s="238" t="s">
        <v>3271</v>
      </c>
    </row>
    <row r="266" spans="1:11" ht="24" customHeight="1" x14ac:dyDescent="0.3">
      <c r="A266" s="240" t="s">
        <v>3477</v>
      </c>
      <c r="B266" s="240" t="str">
        <f>IF(Syst.&lt;&gt;"Reloaded","","Points de Pouvoir")</f>
        <v>Points de Pouvoir</v>
      </c>
      <c r="C266" s="238" t="s">
        <v>3748</v>
      </c>
      <c r="D266" s="238" t="s">
        <v>3754</v>
      </c>
      <c r="E266" s="238">
        <f>VLOOKUP(D266,Tableaux!$BS:$BU,3,FALSE)</f>
        <v>0</v>
      </c>
      <c r="F266" s="238">
        <v>2</v>
      </c>
      <c r="G266" s="243" t="s">
        <v>3008</v>
      </c>
      <c r="H266" s="68" t="s">
        <v>3168</v>
      </c>
      <c r="I266" s="67" t="s">
        <v>3479</v>
      </c>
      <c r="J266" s="242" t="s">
        <v>3168</v>
      </c>
      <c r="K266" s="238" t="s">
        <v>3476</v>
      </c>
    </row>
    <row r="267" spans="1:11" ht="24" customHeight="1" x14ac:dyDescent="0.3">
      <c r="A267" s="240" t="s">
        <v>5194</v>
      </c>
      <c r="B267" s="240" t="str">
        <f>IF(OR(AND(Détérré=TRUE),(AND(Syst.="Reloaded",Primes&gt;Atouts!E267))),A267,"")</f>
        <v/>
      </c>
      <c r="C267" s="238" t="s">
        <v>3745</v>
      </c>
      <c r="D267" s="238" t="s">
        <v>3752</v>
      </c>
      <c r="E267" s="238">
        <f>VLOOKUP(D267,Tableaux!$BS:$BU,3,FALSE)</f>
        <v>40</v>
      </c>
      <c r="F267" s="238">
        <v>4</v>
      </c>
      <c r="G267" s="243" t="s">
        <v>307</v>
      </c>
      <c r="H267" s="67" t="s">
        <v>5218</v>
      </c>
      <c r="I267" s="67" t="s">
        <v>5197</v>
      </c>
      <c r="K267" s="242"/>
    </row>
    <row r="268" spans="1:11" ht="24" customHeight="1" x14ac:dyDescent="0.3">
      <c r="A268" s="240" t="s">
        <v>5195</v>
      </c>
      <c r="B268" s="240" t="str">
        <f>IF(OR(AND(Détérré=TRUE,poss4=TRUE),(AND(Syst.="Reloaded",Primes&gt;Atouts!E268))),A268,"")</f>
        <v/>
      </c>
      <c r="C268" s="238" t="s">
        <v>3745</v>
      </c>
      <c r="D268" s="238" t="s">
        <v>2913</v>
      </c>
      <c r="E268" s="238">
        <f>VLOOKUP(D268,Tableaux!$BS:$BU,3,FALSE)</f>
        <v>80</v>
      </c>
      <c r="F268" s="238">
        <v>6</v>
      </c>
      <c r="G268" s="243" t="s">
        <v>5196</v>
      </c>
      <c r="H268" s="67" t="s">
        <v>5219</v>
      </c>
      <c r="I268" s="67" t="s">
        <v>5198</v>
      </c>
      <c r="K268" s="238" t="s">
        <v>5211</v>
      </c>
    </row>
    <row r="269" spans="1:11" ht="24" customHeight="1" x14ac:dyDescent="0.3">
      <c r="A269" s="240" t="str">
        <f>IF(OR(SexePerso="Féminin",'Perso Reloaded'!$C$6="Féminin"),"Professionnelle","Professionnel")</f>
        <v>Professionnel</v>
      </c>
      <c r="B269" s="240" t="str">
        <f>IF(AND(Syst.="Reloaded",Primes&lt;Atouts!E269),"",A269)</f>
        <v/>
      </c>
      <c r="C269" s="238" t="s">
        <v>3747</v>
      </c>
      <c r="D269" s="238" t="s">
        <v>2913</v>
      </c>
      <c r="E269" s="238">
        <f>VLOOKUP(D269,Tableaux!$BS:$BU,3,FALSE)</f>
        <v>80</v>
      </c>
      <c r="F269" s="238">
        <v>5</v>
      </c>
      <c r="G269" s="243" t="s">
        <v>3383</v>
      </c>
      <c r="H269" s="67" t="s">
        <v>4932</v>
      </c>
      <c r="I269" s="67" t="s">
        <v>4932</v>
      </c>
      <c r="J269" s="242" t="s">
        <v>3168</v>
      </c>
      <c r="K269" s="238" t="s">
        <v>3392</v>
      </c>
    </row>
    <row r="270" spans="1:11" ht="24" customHeight="1" x14ac:dyDescent="0.3">
      <c r="A270" s="240" t="s">
        <v>3389</v>
      </c>
      <c r="B270" s="240" t="str">
        <f>IF(OR(OR(Vif=FALSE,déAgilité&lt;10),(AND(Syst.="Reloaded",Primes&lt;Atouts!E270))),"",A270)</f>
        <v/>
      </c>
      <c r="C270" s="238" t="s">
        <v>3747</v>
      </c>
      <c r="D270" s="238" t="s">
        <v>2913</v>
      </c>
      <c r="E270" s="238">
        <f>VLOOKUP(D270,Tableaux!$BS:$BU,3,FALSE)</f>
        <v>80</v>
      </c>
      <c r="F270" s="238">
        <v>5</v>
      </c>
      <c r="G270" s="243" t="s">
        <v>3390</v>
      </c>
      <c r="H270" s="67" t="s">
        <v>4726</v>
      </c>
      <c r="I270" s="67" t="s">
        <v>3391</v>
      </c>
      <c r="J270" s="242" t="s">
        <v>3168</v>
      </c>
      <c r="K270" s="238" t="s">
        <v>3392</v>
      </c>
    </row>
    <row r="271" spans="1:11" ht="24" customHeight="1" x14ac:dyDescent="0.3">
      <c r="A271" s="240" t="s">
        <v>5202</v>
      </c>
      <c r="B271" s="240" t="str">
        <f>IF(OR(AND(Détérré=TRUE),(AND(Syst.="Reloaded",Primes&gt;Atouts!E271))),A271,"")</f>
        <v/>
      </c>
      <c r="C271" s="238" t="s">
        <v>3745</v>
      </c>
      <c r="D271" s="238" t="s">
        <v>3754</v>
      </c>
      <c r="E271" s="238">
        <f>VLOOKUP(D271,Tableaux!$BS:$BU,3,FALSE)</f>
        <v>0</v>
      </c>
      <c r="F271" s="238">
        <v>2</v>
      </c>
      <c r="G271" s="243" t="s">
        <v>307</v>
      </c>
      <c r="H271" s="67" t="s">
        <v>5203</v>
      </c>
      <c r="I271" s="67" t="s">
        <v>5210</v>
      </c>
      <c r="J271" s="242" t="s">
        <v>3168</v>
      </c>
    </row>
    <row r="272" spans="1:11" ht="24" customHeight="1" x14ac:dyDescent="0.3">
      <c r="A272" s="240" t="s">
        <v>3292</v>
      </c>
      <c r="B272" s="240" t="str">
        <f>IF(OR(OR(déAgilité&lt;8),(AND(Syst.="Reloaded",Primes&lt;Atouts!E272))),"",A272)</f>
        <v/>
      </c>
      <c r="C272" s="238" t="s">
        <v>3755</v>
      </c>
      <c r="D272" s="238" t="s">
        <v>3751</v>
      </c>
      <c r="E272" s="238">
        <f>VLOOKUP(D272,Tableaux!$BS:$BU,3,FALSE)</f>
        <v>20</v>
      </c>
      <c r="F272" s="238">
        <v>3</v>
      </c>
      <c r="G272" s="243" t="s">
        <v>3293</v>
      </c>
      <c r="H272" s="68" t="s">
        <v>3294</v>
      </c>
      <c r="I272" s="67" t="s">
        <v>3835</v>
      </c>
      <c r="J272" s="242" t="s">
        <v>3168</v>
      </c>
      <c r="K272" s="238" t="s">
        <v>3271</v>
      </c>
    </row>
    <row r="273" spans="1:11" ht="24" customHeight="1" x14ac:dyDescent="0.3">
      <c r="A273" s="240" t="str">
        <f>IF(OR(SexePerso="Féminin",'Perso Reloaded'!$C$6="Féminin"),"Recycleuse","Recycleur")</f>
        <v>Recycleur</v>
      </c>
      <c r="B273" s="240" t="str">
        <f>IF(OR(OR(Chanceux=FALSE),(AND(Syst.="Reloaded",Primes&lt;Atouts!E273))),"",A273)</f>
        <v/>
      </c>
      <c r="C273" s="238" t="s">
        <v>3745</v>
      </c>
      <c r="D273" s="238" t="s">
        <v>3754</v>
      </c>
      <c r="E273" s="238">
        <f>VLOOKUP(D273,Tableaux!$BS:$BU,3,FALSE)</f>
        <v>0</v>
      </c>
      <c r="F273" s="238">
        <v>2</v>
      </c>
      <c r="G273" s="243" t="s">
        <v>3163</v>
      </c>
      <c r="H273" s="68" t="s">
        <v>4933</v>
      </c>
      <c r="I273" s="67" t="s">
        <v>3836</v>
      </c>
      <c r="J273" s="242" t="s">
        <v>3168</v>
      </c>
      <c r="K273" s="238" t="s">
        <v>3280</v>
      </c>
    </row>
    <row r="274" spans="1:11" ht="24" customHeight="1" x14ac:dyDescent="0.3">
      <c r="A274" s="240" t="s">
        <v>281</v>
      </c>
      <c r="B274" s="240" t="str">
        <f>IF(AND(Syst.="Reloaded",Primes&lt;Atouts!E274),"",A274)</f>
        <v>Regard d'acier</v>
      </c>
      <c r="C274" s="238" t="s">
        <v>3750</v>
      </c>
      <c r="D274" s="238" t="s">
        <v>3754</v>
      </c>
      <c r="E274" s="238">
        <f>VLOOKUP(D274,Tableaux!$BS:$BU,3,FALSE)</f>
        <v>0</v>
      </c>
      <c r="F274" s="238">
        <v>1</v>
      </c>
      <c r="G274" s="399" t="s">
        <v>3168</v>
      </c>
      <c r="H274" s="68" t="s">
        <v>1079</v>
      </c>
      <c r="I274" s="68" t="s">
        <v>1079</v>
      </c>
      <c r="J274" s="238" t="s">
        <v>1005</v>
      </c>
      <c r="K274" s="68" t="s">
        <v>3168</v>
      </c>
    </row>
    <row r="275" spans="1:11" ht="24" customHeight="1" x14ac:dyDescent="0.3">
      <c r="A275" s="240" t="str">
        <f>IF(OR(SexePerso="Féminin",'Perso Reloaded'!$C$6="Féminin"),"Renomée/Notable (héroïne nationnalle)","Renomée/Notable (héro nationnal)")</f>
        <v>Renomée/Notable (héro nationnal)</v>
      </c>
      <c r="B275" s="240" t="str">
        <f>IF(AND(Syst.="Reloaded",Primes&lt;Atouts!E275),"",A275)</f>
        <v/>
      </c>
      <c r="C275" s="238" t="s">
        <v>3755</v>
      </c>
      <c r="D275" s="238" t="s">
        <v>3752</v>
      </c>
      <c r="E275" s="238">
        <f>VLOOKUP(D275,Tableaux!$BS:$BU,3,FALSE)</f>
        <v>40</v>
      </c>
      <c r="F275" s="238">
        <v>5</v>
      </c>
      <c r="G275" s="399" t="s">
        <v>3168</v>
      </c>
      <c r="H275" s="67" t="s">
        <v>1080</v>
      </c>
      <c r="I275" s="68" t="s">
        <v>3670</v>
      </c>
      <c r="J275" s="238" t="s">
        <v>1005</v>
      </c>
      <c r="K275" s="238" t="s">
        <v>3671</v>
      </c>
    </row>
    <row r="276" spans="1:11" ht="24" customHeight="1" x14ac:dyDescent="0.3">
      <c r="A276" s="240" t="s">
        <v>4934</v>
      </c>
      <c r="B276" s="240" t="str">
        <f>IF(AND(Syst.="Reloaded",Primes&lt;Atouts!E276),"",A276)</f>
        <v/>
      </c>
      <c r="C276" s="238" t="s">
        <v>3755</v>
      </c>
      <c r="D276" s="238" t="s">
        <v>3751</v>
      </c>
      <c r="E276" s="238">
        <f>VLOOKUP(D276,Tableaux!$BS:$BU,3,FALSE)</f>
        <v>20</v>
      </c>
      <c r="F276" s="238">
        <v>3</v>
      </c>
      <c r="G276" s="399" t="s">
        <v>3168</v>
      </c>
      <c r="H276" s="67" t="s">
        <v>1080</v>
      </c>
      <c r="I276" s="68" t="s">
        <v>3670</v>
      </c>
      <c r="J276" s="238" t="s">
        <v>1005</v>
      </c>
      <c r="K276" s="238" t="s">
        <v>3671</v>
      </c>
    </row>
    <row r="277" spans="1:11" ht="24" customHeight="1" x14ac:dyDescent="0.3">
      <c r="A277" s="240" t="s">
        <v>4935</v>
      </c>
      <c r="B277" s="240" t="str">
        <f>IF(AND(Syst.="Reloaded",Primes&lt;Atouts!E277),"",A277)</f>
        <v>Renommée/Notable (une ville)</v>
      </c>
      <c r="C277" s="238" t="s">
        <v>3755</v>
      </c>
      <c r="D277" s="238" t="s">
        <v>3754</v>
      </c>
      <c r="E277" s="238">
        <f>VLOOKUP(D277,Tableaux!$BS:$BU,3,FALSE)</f>
        <v>0</v>
      </c>
      <c r="F277" s="238">
        <v>1</v>
      </c>
      <c r="G277" s="399" t="s">
        <v>3168</v>
      </c>
      <c r="H277" s="67" t="s">
        <v>1080</v>
      </c>
      <c r="I277" s="68" t="s">
        <v>3670</v>
      </c>
      <c r="J277" s="238" t="s">
        <v>1005</v>
      </c>
      <c r="K277" s="238" t="s">
        <v>3671</v>
      </c>
    </row>
    <row r="278" spans="1:11" ht="33" customHeight="1" x14ac:dyDescent="0.3">
      <c r="A278" s="240" t="s">
        <v>5204</v>
      </c>
      <c r="B278" s="240" t="str">
        <f>IF(OR(AND(Détérré=TRUE),(AND(Syst.="Reloaded",Primes&gt;Atouts!E278))),A278,"")</f>
        <v/>
      </c>
      <c r="C278" s="238" t="s">
        <v>3745</v>
      </c>
      <c r="D278" s="238" t="s">
        <v>3751</v>
      </c>
      <c r="E278" s="238">
        <f>VLOOKUP(D278,Tableaux!$BS:$BU,3,FALSE)</f>
        <v>20</v>
      </c>
      <c r="F278" s="238">
        <v>3</v>
      </c>
      <c r="G278" s="399" t="s">
        <v>307</v>
      </c>
      <c r="H278" s="67" t="s">
        <v>5213</v>
      </c>
      <c r="I278" s="67" t="s">
        <v>5212</v>
      </c>
    </row>
    <row r="279" spans="1:11" ht="24" customHeight="1" x14ac:dyDescent="0.3">
      <c r="A279" s="240" t="s">
        <v>3366</v>
      </c>
      <c r="B279" s="240" t="str">
        <f>IF(AND(Syst.="Reloaded",Primes&lt;Atouts!E279),"",A279)</f>
        <v/>
      </c>
      <c r="C279" s="238" t="s">
        <v>3750</v>
      </c>
      <c r="D279" s="238" t="s">
        <v>3752</v>
      </c>
      <c r="E279" s="238">
        <f>VLOOKUP(D279,Tableaux!$BS:$BU,3,FALSE)</f>
        <v>40</v>
      </c>
      <c r="F279" s="238">
        <v>3</v>
      </c>
      <c r="G279" s="399" t="s">
        <v>3168</v>
      </c>
      <c r="H279" s="68" t="s">
        <v>3398</v>
      </c>
      <c r="I279" s="68" t="s">
        <v>3397</v>
      </c>
      <c r="J279" s="242" t="s">
        <v>3168</v>
      </c>
      <c r="K279" s="238" t="s">
        <v>3396</v>
      </c>
    </row>
    <row r="280" spans="1:11" ht="24" customHeight="1" x14ac:dyDescent="0.3">
      <c r="A280" s="240" t="s">
        <v>3179</v>
      </c>
      <c r="B280" s="240" t="str">
        <f>IF(OR(OR(déAme&lt;8),(AND(Syst.="Reloaded",Primes&lt;Atouts!E280))),"",A280)</f>
        <v/>
      </c>
      <c r="C280" s="238" t="s">
        <v>3755</v>
      </c>
      <c r="D280" s="238" t="s">
        <v>3754</v>
      </c>
      <c r="E280" s="238">
        <f>VLOOKUP(D280,Tableaux!$BS:$BU,3,FALSE)</f>
        <v>0</v>
      </c>
      <c r="F280" s="238">
        <v>3</v>
      </c>
      <c r="G280" s="243" t="s">
        <v>3176</v>
      </c>
      <c r="H280" s="67" t="s">
        <v>3181</v>
      </c>
      <c r="I280" s="68" t="s">
        <v>3177</v>
      </c>
      <c r="J280" s="242" t="s">
        <v>3168</v>
      </c>
      <c r="K280" s="238" t="s">
        <v>3173</v>
      </c>
    </row>
    <row r="281" spans="1:11" ht="24" customHeight="1" x14ac:dyDescent="0.3">
      <c r="A281" s="240" t="s">
        <v>3180</v>
      </c>
      <c r="B281" s="240" t="str">
        <f>IF(OR(OR(RaC=FALSE),(AND(Syst.="Reloaded",Primes&lt;Atouts!E281))),"",A281)</f>
        <v/>
      </c>
      <c r="C281" s="238" t="s">
        <v>3755</v>
      </c>
      <c r="D281" s="238" t="s">
        <v>3754</v>
      </c>
      <c r="E281" s="238">
        <f>VLOOKUP(D281,Tableaux!$BS:$BU,3,FALSE)</f>
        <v>0</v>
      </c>
      <c r="F281" s="238">
        <v>5</v>
      </c>
      <c r="G281" s="243" t="s">
        <v>3179</v>
      </c>
      <c r="H281" s="67" t="s">
        <v>3178</v>
      </c>
      <c r="I281" s="68" t="s">
        <v>3182</v>
      </c>
      <c r="J281" s="242" t="s">
        <v>3168</v>
      </c>
      <c r="K281" s="238" t="s">
        <v>3173</v>
      </c>
    </row>
    <row r="282" spans="1:11" ht="31.2" customHeight="1" x14ac:dyDescent="0.3">
      <c r="A282" s="240" t="s">
        <v>5205</v>
      </c>
      <c r="B282" s="240" t="str">
        <f>IF(OR(AND(Détérré=TRUE),(AND(Syst.="Reloaded",Primes&gt;Atouts!E282))),A282,"")</f>
        <v/>
      </c>
      <c r="C282" s="238" t="s">
        <v>3745</v>
      </c>
      <c r="D282" s="238" t="s">
        <v>3753</v>
      </c>
      <c r="E282" s="238">
        <f>VLOOKUP(D282,Tableaux!$BS:$BU,3,FALSE)</f>
        <v>60</v>
      </c>
      <c r="F282" s="238">
        <v>5</v>
      </c>
      <c r="G282" s="243" t="s">
        <v>307</v>
      </c>
      <c r="H282" s="67" t="s">
        <v>5215</v>
      </c>
      <c r="I282" s="68" t="s">
        <v>5214</v>
      </c>
      <c r="J282" s="242" t="s">
        <v>3168</v>
      </c>
      <c r="K282" s="238" t="s">
        <v>5192</v>
      </c>
    </row>
    <row r="283" spans="1:11" ht="24" customHeight="1" x14ac:dyDescent="0.3">
      <c r="A283" s="240" t="s">
        <v>3295</v>
      </c>
      <c r="B283" s="240" t="str">
        <f>IF(AND(Syst.="Reloaded",Primes&lt;Atouts!E283),"",A283)</f>
        <v/>
      </c>
      <c r="C283" s="238" t="s">
        <v>3743</v>
      </c>
      <c r="D283" s="238" t="s">
        <v>3751</v>
      </c>
      <c r="E283" s="238">
        <f>VLOOKUP(D283,Tableaux!$BS:$BU,3,FALSE)</f>
        <v>20</v>
      </c>
      <c r="F283" s="238">
        <v>3</v>
      </c>
      <c r="G283" s="243" t="s">
        <v>3296</v>
      </c>
      <c r="H283" s="67" t="s">
        <v>3308</v>
      </c>
      <c r="I283" s="68" t="s">
        <v>3297</v>
      </c>
      <c r="J283" s="242" t="s">
        <v>3168</v>
      </c>
      <c r="K283" s="238" t="s">
        <v>3298</v>
      </c>
    </row>
    <row r="284" spans="1:11" ht="24" customHeight="1" x14ac:dyDescent="0.3">
      <c r="A284" s="240" t="s">
        <v>5251</v>
      </c>
      <c r="B284" s="240" t="str">
        <f>IF(OR(OR(Syst.&lt;&gt;"Reloaded",déIntellect&lt;8),(AND(Syst.="Reloaded",Primes&lt;Atouts!E284))),"",A284)</f>
        <v/>
      </c>
      <c r="C284" s="238" t="s">
        <v>3750</v>
      </c>
      <c r="D284" s="238" t="s">
        <v>3754</v>
      </c>
      <c r="E284" s="238">
        <f>VLOOKUP(D284,Tableaux!$BS:$BU,3,FALSE)</f>
        <v>0</v>
      </c>
      <c r="F284" s="238">
        <v>1</v>
      </c>
      <c r="G284" s="243" t="s">
        <v>3303</v>
      </c>
      <c r="H284" s="68" t="s">
        <v>5252</v>
      </c>
      <c r="I284" s="68" t="s">
        <v>5252</v>
      </c>
      <c r="J284" s="242" t="s">
        <v>3168</v>
      </c>
    </row>
    <row r="285" spans="1:11" ht="24" customHeight="1" x14ac:dyDescent="0.3">
      <c r="A285" s="240" t="str">
        <f>IF(OR(SexePerso="Féminin",'Perso Reloaded'!$C$6="Féminin"),"Sacrée Baratineuse","Sacré Baratineur")</f>
        <v>Sacré Baratineur</v>
      </c>
      <c r="B285" s="240" t="str">
        <f>IF(OR(OR(Charlatan=FALSE),(AND(Syst.="Reloaded",Primes&lt;Atouts!E285))),"",A285)</f>
        <v/>
      </c>
      <c r="C285" s="238" t="s">
        <v>3749</v>
      </c>
      <c r="D285" s="238" t="s">
        <v>3754</v>
      </c>
      <c r="E285" s="238">
        <f>VLOOKUP(D285,Tableaux!$BS:$BU,3,FALSE)</f>
        <v>0</v>
      </c>
      <c r="F285" s="238">
        <v>2</v>
      </c>
      <c r="G285" s="243" t="s">
        <v>3449</v>
      </c>
      <c r="H285" s="67" t="s">
        <v>4738</v>
      </c>
      <c r="I285" s="68" t="s">
        <v>4737</v>
      </c>
      <c r="J285" s="242" t="s">
        <v>3168</v>
      </c>
      <c r="K285" s="238" t="s">
        <v>4696</v>
      </c>
    </row>
    <row r="286" spans="1:11" ht="24" customHeight="1" x14ac:dyDescent="0.3">
      <c r="A286" s="240" t="s">
        <v>283</v>
      </c>
      <c r="B286" s="240" t="str">
        <f>IF(OR(OR(croyant=FALSE,déAme&lt;12,'Perso Reloaded'!$C$6="Féminin",SexePerso="Féminin"),(AND(Syst.="Reloaded",Primes&lt;Atouts!E286))),"",A286)</f>
        <v/>
      </c>
      <c r="C286" s="238" t="s">
        <v>3749</v>
      </c>
      <c r="D286" s="238" t="s">
        <v>3753</v>
      </c>
      <c r="E286" s="238">
        <f>VLOOKUP(D286,Tableaux!$BS:$BU,3,FALSE)</f>
        <v>60</v>
      </c>
      <c r="F286" s="238">
        <v>4</v>
      </c>
      <c r="G286" s="399" t="s">
        <v>5259</v>
      </c>
      <c r="H286" s="67" t="s">
        <v>3435</v>
      </c>
      <c r="I286" s="67" t="s">
        <v>3435</v>
      </c>
      <c r="J286" s="238" t="s">
        <v>1014</v>
      </c>
      <c r="K286" s="238" t="s">
        <v>3168</v>
      </c>
    </row>
    <row r="287" spans="1:11" ht="24" customHeight="1" x14ac:dyDescent="0.3">
      <c r="A287" s="240" t="s">
        <v>284</v>
      </c>
      <c r="B287" s="240" t="str">
        <f>IF(OR(OR(croyant=FALSE,déAme&lt;10,'Perso Reloaded'!$C$6="Féminin",SexePerso="Féminin"),(AND(Syst.="Reloaded",Primes&lt;Atouts!E287))),"",A287)</f>
        <v/>
      </c>
      <c r="C287" s="238" t="s">
        <v>3749</v>
      </c>
      <c r="D287" s="238" t="s">
        <v>2913</v>
      </c>
      <c r="E287" s="238">
        <f>VLOOKUP(D287,Tableaux!$BS:$BU,3,FALSE)</f>
        <v>80</v>
      </c>
      <c r="F287" s="238">
        <v>5</v>
      </c>
      <c r="G287" s="399" t="s">
        <v>5260</v>
      </c>
      <c r="H287" s="67" t="s">
        <v>3436</v>
      </c>
      <c r="I287" s="67" t="s">
        <v>3436</v>
      </c>
      <c r="J287" s="238" t="s">
        <v>1014</v>
      </c>
      <c r="K287" s="238" t="s">
        <v>3168</v>
      </c>
    </row>
    <row r="288" spans="1:11" ht="24" customHeight="1" x14ac:dyDescent="0.3">
      <c r="A288" s="240" t="str">
        <f>IF(OR(SexePerso="Féminin",'Perso Reloaded'!$C$6="Féminin"),"Saint office (grande prêtresse, mère supérieure)","Saint office (évêque, grand prêtre, abbé)")</f>
        <v>Saint office (évêque, grand prêtre, abbé)</v>
      </c>
      <c r="B288" s="240" t="str">
        <f>IF(OR(OR(croyant=FALSE,déAme&lt;8),(AND(Syst.="Reloaded",Primes&lt;Atouts!E288))),"",A288)</f>
        <v/>
      </c>
      <c r="C288" s="238" t="s">
        <v>3749</v>
      </c>
      <c r="D288" s="238" t="s">
        <v>3752</v>
      </c>
      <c r="E288" s="238">
        <f>VLOOKUP(D288,Tableaux!$BS:$BU,3,FALSE)</f>
        <v>40</v>
      </c>
      <c r="F288" s="238">
        <v>2</v>
      </c>
      <c r="G288" s="399" t="s">
        <v>5261</v>
      </c>
      <c r="H288" s="67" t="s">
        <v>3434</v>
      </c>
      <c r="I288" s="67" t="s">
        <v>3434</v>
      </c>
      <c r="J288" s="238" t="s">
        <v>1014</v>
      </c>
      <c r="K288" s="238" t="s">
        <v>3168</v>
      </c>
    </row>
    <row r="289" spans="1:11" ht="24" customHeight="1" x14ac:dyDescent="0.3">
      <c r="A289" s="240" t="str">
        <f>IF(OR(SexePerso="Féminin",'Perso Reloaded'!$C$6="Féminin"),"Saint office (prêtresse, ancienne)","Saint office (prêtre, ancien, rabbin)")</f>
        <v>Saint office (prêtre, ancien, rabbin)</v>
      </c>
      <c r="B289" s="240" t="str">
        <f>IF(OR(OR(croyant=FALSE,déAme&lt;6),(AND(Syst.="Reloaded",Primes&lt;Atouts!E289))),"",A289)</f>
        <v/>
      </c>
      <c r="C289" s="238" t="s">
        <v>3749</v>
      </c>
      <c r="D289" s="238" t="s">
        <v>3751</v>
      </c>
      <c r="E289" s="238">
        <f>VLOOKUP(D289,Tableaux!$BS:$BU,3,FALSE)</f>
        <v>20</v>
      </c>
      <c r="F289" s="238">
        <v>1</v>
      </c>
      <c r="G289" s="399" t="s">
        <v>5262</v>
      </c>
      <c r="H289" s="67" t="s">
        <v>1081</v>
      </c>
      <c r="I289" s="67" t="s">
        <v>1081</v>
      </c>
      <c r="J289" s="238" t="s">
        <v>1014</v>
      </c>
      <c r="K289" s="238" t="s">
        <v>3168</v>
      </c>
    </row>
    <row r="290" spans="1:11" ht="24" customHeight="1" x14ac:dyDescent="0.3">
      <c r="A290" s="240" t="s">
        <v>4822</v>
      </c>
      <c r="B290" s="240" t="str">
        <f>IF(OR(OR(croyant=FALSE,déAme&lt;8),(AND(Syst.="Reloaded",Primes&lt;Atouts!E290))),"",A290)</f>
        <v/>
      </c>
      <c r="C290" s="238" t="s">
        <v>3745</v>
      </c>
      <c r="D290" s="238" t="s">
        <v>3754</v>
      </c>
      <c r="E290" s="238">
        <f>VLOOKUP(D290,Tableaux!$BS:$BU,3,FALSE)</f>
        <v>0</v>
      </c>
      <c r="F290" s="238">
        <v>2</v>
      </c>
      <c r="G290" s="243" t="s">
        <v>5263</v>
      </c>
      <c r="H290" s="67" t="s">
        <v>1031</v>
      </c>
      <c r="I290" s="67" t="s">
        <v>4936</v>
      </c>
      <c r="J290" s="238" t="s">
        <v>1007</v>
      </c>
      <c r="K290" s="238" t="s">
        <v>4824</v>
      </c>
    </row>
    <row r="291" spans="1:11" ht="24" customHeight="1" x14ac:dyDescent="0.3">
      <c r="A291" s="240" t="s">
        <v>4823</v>
      </c>
      <c r="B291" s="240" t="str">
        <f>IF(OR(OR(croyant=FALSE,déAme&lt;12),(AND(Syst.="Reloaded",Primes&lt;Atouts!E291))),"",A291)</f>
        <v/>
      </c>
      <c r="C291" s="238" t="s">
        <v>3745</v>
      </c>
      <c r="D291" s="238" t="s">
        <v>3753</v>
      </c>
      <c r="E291" s="238">
        <f>VLOOKUP(D291,Tableaux!$BS:$BU,3,FALSE)</f>
        <v>60</v>
      </c>
      <c r="F291" s="238">
        <v>4</v>
      </c>
      <c r="G291" s="243" t="s">
        <v>5264</v>
      </c>
      <c r="H291" s="67" t="s">
        <v>1032</v>
      </c>
      <c r="I291" s="67" t="s">
        <v>4937</v>
      </c>
      <c r="J291" s="238" t="s">
        <v>1007</v>
      </c>
      <c r="K291" s="238" t="s">
        <v>4824</v>
      </c>
    </row>
    <row r="292" spans="1:11" ht="24" customHeight="1" x14ac:dyDescent="0.3">
      <c r="A292" s="240" t="s">
        <v>4821</v>
      </c>
      <c r="B292" s="240" t="str">
        <f>IF(OR(OR(croyant=FALSE,déAme&lt;10),(AND(Syst.="Reloaded",Primes&lt;Atouts!E292))),"",A292)</f>
        <v/>
      </c>
      <c r="C292" s="238" t="s">
        <v>3745</v>
      </c>
      <c r="D292" s="238" t="s">
        <v>3752</v>
      </c>
      <c r="E292" s="238">
        <f>VLOOKUP(D292,Tableaux!$BS:$BU,3,FALSE)</f>
        <v>40</v>
      </c>
      <c r="F292" s="238">
        <v>3</v>
      </c>
      <c r="G292" s="243" t="s">
        <v>5265</v>
      </c>
      <c r="H292" s="67" t="s">
        <v>1033</v>
      </c>
      <c r="I292" s="67" t="s">
        <v>4938</v>
      </c>
      <c r="J292" s="238" t="s">
        <v>1007</v>
      </c>
      <c r="K292" s="238" t="s">
        <v>4824</v>
      </c>
    </row>
    <row r="293" spans="1:11" ht="24" customHeight="1" x14ac:dyDescent="0.3">
      <c r="A293" s="240" t="s">
        <v>4819</v>
      </c>
      <c r="B293" s="240" t="str">
        <f>IF(OR(OR(croyant=FALSE,déAme&lt;6),(AND(Syst.="Reloaded",Primes&lt;Atouts!E293))),"",A293)</f>
        <v/>
      </c>
      <c r="C293" s="238" t="s">
        <v>3745</v>
      </c>
      <c r="D293" s="238" t="s">
        <v>3754</v>
      </c>
      <c r="E293" s="238">
        <f>VLOOKUP(D293,Tableaux!$BS:$BU,3,FALSE)</f>
        <v>0</v>
      </c>
      <c r="F293" s="238">
        <v>1</v>
      </c>
      <c r="G293" s="243" t="s">
        <v>5266</v>
      </c>
      <c r="H293" s="67" t="s">
        <v>1030</v>
      </c>
      <c r="I293" s="67" t="s">
        <v>4939</v>
      </c>
      <c r="J293" s="238" t="s">
        <v>1007</v>
      </c>
      <c r="K293" s="238" t="s">
        <v>4824</v>
      </c>
    </row>
    <row r="294" spans="1:11" ht="24" customHeight="1" x14ac:dyDescent="0.3">
      <c r="A294" s="240" t="s">
        <v>4820</v>
      </c>
      <c r="B294" s="240" t="str">
        <f>IF(OR(OR(croyant=FALSE,déAme&lt;12),(AND(Syst.="Reloaded",Primes&lt;Atouts!E294))),"",A294)</f>
        <v/>
      </c>
      <c r="C294" s="238" t="s">
        <v>3745</v>
      </c>
      <c r="D294" s="238" t="s">
        <v>2913</v>
      </c>
      <c r="E294" s="238">
        <f>VLOOKUP(D294,Tableaux!$BS:$BU,3,FALSE)</f>
        <v>80</v>
      </c>
      <c r="F294" s="238">
        <v>5</v>
      </c>
      <c r="G294" s="243" t="s">
        <v>5267</v>
      </c>
      <c r="H294" s="67" t="s">
        <v>1034</v>
      </c>
      <c r="I294" s="67" t="s">
        <v>4940</v>
      </c>
      <c r="J294" s="238" t="s">
        <v>1007</v>
      </c>
      <c r="K294" s="238" t="s">
        <v>4824</v>
      </c>
    </row>
    <row r="295" spans="1:11" ht="24" customHeight="1" x14ac:dyDescent="0.3">
      <c r="A295" s="240" t="s">
        <v>3304</v>
      </c>
      <c r="B295" s="240" t="str">
        <f>IF(OR(OR(Tfroide=FALSE),(AND(Syst.="Reloaded",Primes&lt;Atouts!E295))),"",A295)</f>
        <v/>
      </c>
      <c r="C295" s="238" t="s">
        <v>3743</v>
      </c>
      <c r="D295" s="238" t="s">
        <v>3751</v>
      </c>
      <c r="E295" s="238">
        <f>VLOOKUP(D295,Tableaux!$BS:$BU,3,FALSE)</f>
        <v>20</v>
      </c>
      <c r="F295" s="238">
        <v>3</v>
      </c>
      <c r="G295" s="243" t="s">
        <v>3305</v>
      </c>
      <c r="H295" s="67" t="s">
        <v>3306</v>
      </c>
      <c r="I295" s="67" t="s">
        <v>3307</v>
      </c>
      <c r="J295" s="242" t="s">
        <v>3168</v>
      </c>
      <c r="K295" s="238" t="s">
        <v>3298</v>
      </c>
    </row>
    <row r="296" spans="1:11" ht="24" customHeight="1" x14ac:dyDescent="0.3">
      <c r="A296" s="240" t="s">
        <v>1082</v>
      </c>
      <c r="B296" s="240" t="str">
        <f>IF(AND(Syst.="Reloaded",Primes&lt;Atouts!E296),"",A296)</f>
        <v>Sang Whateley</v>
      </c>
      <c r="C296" s="238" t="s">
        <v>3755</v>
      </c>
      <c r="D296" s="238" t="s">
        <v>3754</v>
      </c>
      <c r="E296" s="238">
        <f>VLOOKUP(D296,Tableaux!$BS:$BU,3,FALSE)</f>
        <v>0</v>
      </c>
      <c r="F296" s="238">
        <v>3</v>
      </c>
      <c r="G296" s="399" t="s">
        <v>3168</v>
      </c>
      <c r="H296" s="67" t="s">
        <v>1084</v>
      </c>
      <c r="I296" s="67" t="s">
        <v>4624</v>
      </c>
      <c r="J296" s="238" t="s">
        <v>1083</v>
      </c>
      <c r="K296" s="238" t="s">
        <v>3499</v>
      </c>
    </row>
    <row r="297" spans="1:11" ht="24" customHeight="1" x14ac:dyDescent="0.3">
      <c r="A297" s="240" t="s">
        <v>3299</v>
      </c>
      <c r="B297" s="240" t="str">
        <f>IF(AND(Syst.="Reloaded",Primes&lt;Atouts!E297),"",A297)</f>
        <v/>
      </c>
      <c r="C297" s="238" t="s">
        <v>3743</v>
      </c>
      <c r="D297" s="238" t="s">
        <v>3751</v>
      </c>
      <c r="E297" s="238">
        <f>VLOOKUP(D297,Tableaux!$BS:$BU,3,FALSE)</f>
        <v>20</v>
      </c>
      <c r="F297" s="238">
        <v>3</v>
      </c>
      <c r="G297" s="399" t="s">
        <v>3168</v>
      </c>
      <c r="H297" s="67" t="s">
        <v>3301</v>
      </c>
      <c r="I297" s="67" t="s">
        <v>3300</v>
      </c>
      <c r="J297" s="242" t="s">
        <v>3168</v>
      </c>
      <c r="K297" s="238" t="s">
        <v>3298</v>
      </c>
    </row>
    <row r="298" spans="1:11" ht="24" customHeight="1" x14ac:dyDescent="0.3">
      <c r="A298" s="240" t="s">
        <v>4701</v>
      </c>
      <c r="B298" s="240" t="str">
        <f>IF(OR(OR(Illumination=FALSE,déCombat&lt;7),(AND(Syst.="Reloaded",Primes&lt;Atouts!E298))),"",A298)</f>
        <v/>
      </c>
      <c r="C298" s="238" t="s">
        <v>3743</v>
      </c>
      <c r="D298" s="238" t="s">
        <v>3754</v>
      </c>
      <c r="E298" s="238">
        <f>VLOOKUP(D298,Tableaux!$BS:$BU,3,FALSE)</f>
        <v>0</v>
      </c>
      <c r="F298" s="238">
        <v>2</v>
      </c>
      <c r="G298" s="243" t="s">
        <v>4702</v>
      </c>
      <c r="H298" s="68" t="s">
        <v>4704</v>
      </c>
      <c r="I298" s="68" t="s">
        <v>4703</v>
      </c>
      <c r="J298" s="242" t="s">
        <v>3168</v>
      </c>
      <c r="K298" s="238" t="s">
        <v>4694</v>
      </c>
    </row>
    <row r="299" spans="1:11" ht="24" customHeight="1" x14ac:dyDescent="0.3">
      <c r="A299" s="240" t="s">
        <v>285</v>
      </c>
      <c r="B299" s="240" t="str">
        <f>IF(AND(Syst.="Reloaded",Primes&lt;Atouts!E299),"",A299)</f>
        <v>Sens de l'orientation</v>
      </c>
      <c r="C299" s="238" t="s">
        <v>3755</v>
      </c>
      <c r="D299" s="238" t="s">
        <v>3754</v>
      </c>
      <c r="E299" s="238">
        <f>VLOOKUP(D299,Tableaux!$BS:$BU,3,FALSE)</f>
        <v>0</v>
      </c>
      <c r="F299" s="238">
        <v>1</v>
      </c>
      <c r="G299" s="399" t="s">
        <v>3168</v>
      </c>
      <c r="H299" s="67" t="s">
        <v>3572</v>
      </c>
      <c r="I299" s="67" t="s">
        <v>3642</v>
      </c>
      <c r="J299" s="238" t="s">
        <v>1005</v>
      </c>
      <c r="K299" s="242" t="s">
        <v>3168</v>
      </c>
    </row>
    <row r="300" spans="1:11" ht="24" customHeight="1" x14ac:dyDescent="0.3">
      <c r="A300" s="240" t="s">
        <v>3324</v>
      </c>
      <c r="B300" s="240" t="str">
        <f>IF(OR(OR(Cmd=FALSE,déIntellect&lt;8),(AND(Syst.="Reloaded",Primes&lt;Atouts!E300))),"",A300)</f>
        <v/>
      </c>
      <c r="C300" s="238" t="s">
        <v>3744</v>
      </c>
      <c r="D300" s="238" t="s">
        <v>3751</v>
      </c>
      <c r="E300" s="238">
        <f>VLOOKUP(D300,Tableaux!$BS:$BU,3,FALSE)</f>
        <v>20</v>
      </c>
      <c r="F300" s="238">
        <v>3</v>
      </c>
      <c r="G300" s="243" t="s">
        <v>3325</v>
      </c>
      <c r="H300" s="67" t="s">
        <v>3326</v>
      </c>
      <c r="I300" s="67" t="s">
        <v>3327</v>
      </c>
      <c r="J300" s="242" t="s">
        <v>3168</v>
      </c>
      <c r="K300" s="238" t="s">
        <v>3322</v>
      </c>
    </row>
    <row r="301" spans="1:11" ht="24" customHeight="1" x14ac:dyDescent="0.3">
      <c r="A301" s="240" t="s">
        <v>5206</v>
      </c>
      <c r="B301" s="240" t="str">
        <f>IF(OR(AND(Détérré=TRUE),(AND(Syst.="Reloaded",Primes&gt;Atouts!E301))),A301,"")</f>
        <v/>
      </c>
      <c r="C301" s="238" t="s">
        <v>3745</v>
      </c>
      <c r="D301" s="238" t="s">
        <v>3751</v>
      </c>
      <c r="E301" s="238">
        <f>VLOOKUP(D301,Tableaux!$BS:$BU,3,FALSE)</f>
        <v>20</v>
      </c>
      <c r="F301" s="238">
        <v>3</v>
      </c>
      <c r="G301" s="243" t="s">
        <v>5217</v>
      </c>
      <c r="H301" s="67" t="s">
        <v>5220</v>
      </c>
      <c r="I301" s="67" t="s">
        <v>5220</v>
      </c>
      <c r="J301" s="242"/>
    </row>
    <row r="302" spans="1:11" ht="24" customHeight="1" x14ac:dyDescent="0.3">
      <c r="A302" s="240" t="s">
        <v>288</v>
      </c>
      <c r="B302" s="240" t="str">
        <f>IF(AND(Syst.="Reloaded",Primes&lt;Atouts!E302),"",A302)</f>
        <v>Solide comme un roc (faible)</v>
      </c>
      <c r="C302" s="238" t="s">
        <v>3743</v>
      </c>
      <c r="D302" s="238" t="s">
        <v>3754</v>
      </c>
      <c r="E302" s="238">
        <f>VLOOKUP(D302,Tableaux!$BS:$BU,3,FALSE)</f>
        <v>0</v>
      </c>
      <c r="F302" s="238">
        <v>2</v>
      </c>
      <c r="G302" s="399" t="s">
        <v>3168</v>
      </c>
      <c r="H302" s="67" t="s">
        <v>1086</v>
      </c>
      <c r="I302" s="67" t="s">
        <v>4941</v>
      </c>
      <c r="J302" s="238" t="s">
        <v>1005</v>
      </c>
      <c r="K302" s="238" t="s">
        <v>4384</v>
      </c>
    </row>
    <row r="303" spans="1:11" ht="24" customHeight="1" x14ac:dyDescent="0.3">
      <c r="A303" s="240" t="s">
        <v>290</v>
      </c>
      <c r="B303" s="240" t="str">
        <f>IF(AND(Syst.="Reloaded",Primes&lt;Atouts!E303),"",A303)</f>
        <v/>
      </c>
      <c r="C303" s="238" t="s">
        <v>3743</v>
      </c>
      <c r="D303" s="238" t="s">
        <v>3753</v>
      </c>
      <c r="E303" s="238">
        <f>VLOOKUP(D303,Tableaux!$BS:$BU,3,FALSE)</f>
        <v>60</v>
      </c>
      <c r="F303" s="238">
        <v>4</v>
      </c>
      <c r="G303" s="399" t="s">
        <v>3168</v>
      </c>
      <c r="H303" s="67" t="s">
        <v>1088</v>
      </c>
      <c r="I303" s="67" t="s">
        <v>4941</v>
      </c>
      <c r="J303" s="238" t="s">
        <v>1005</v>
      </c>
      <c r="K303" s="238" t="s">
        <v>4384</v>
      </c>
    </row>
    <row r="304" spans="1:11" ht="24" customHeight="1" x14ac:dyDescent="0.3">
      <c r="A304" s="240" t="s">
        <v>289</v>
      </c>
      <c r="B304" s="240" t="str">
        <f>IF(AND(Syst.="Reloaded",Primes&lt;Atouts!E304),"",A304)</f>
        <v/>
      </c>
      <c r="C304" s="238" t="s">
        <v>3743</v>
      </c>
      <c r="D304" s="238" t="s">
        <v>3752</v>
      </c>
      <c r="E304" s="238">
        <f>VLOOKUP(D304,Tableaux!$BS:$BU,3,FALSE)</f>
        <v>40</v>
      </c>
      <c r="F304" s="238">
        <v>3</v>
      </c>
      <c r="G304" s="399" t="s">
        <v>3168</v>
      </c>
      <c r="H304" s="67" t="s">
        <v>1087</v>
      </c>
      <c r="I304" s="67" t="s">
        <v>4941</v>
      </c>
      <c r="J304" s="238" t="s">
        <v>1005</v>
      </c>
      <c r="K304" s="238" t="s">
        <v>4384</v>
      </c>
    </row>
    <row r="305" spans="1:11" ht="24" customHeight="1" x14ac:dyDescent="0.3">
      <c r="A305" s="240" t="s">
        <v>287</v>
      </c>
      <c r="B305" s="240" t="str">
        <f>IF(AND(Syst.="Reloaded",Primes&lt;Atouts!E305),"",A305)</f>
        <v>Solide comme un roc (très faible)</v>
      </c>
      <c r="C305" s="238" t="s">
        <v>3743</v>
      </c>
      <c r="D305" s="238" t="s">
        <v>3754</v>
      </c>
      <c r="E305" s="238">
        <f>VLOOKUP(D305,Tableaux!$BS:$BU,3,FALSE)</f>
        <v>0</v>
      </c>
      <c r="F305" s="238">
        <v>1</v>
      </c>
      <c r="G305" s="399" t="s">
        <v>3168</v>
      </c>
      <c r="H305" s="67" t="s">
        <v>1085</v>
      </c>
      <c r="I305" s="67" t="s">
        <v>4941</v>
      </c>
      <c r="J305" s="238" t="s">
        <v>1005</v>
      </c>
      <c r="K305" s="238" t="s">
        <v>4384</v>
      </c>
    </row>
    <row r="306" spans="1:11" ht="24" customHeight="1" x14ac:dyDescent="0.3">
      <c r="A306" s="240" t="s">
        <v>291</v>
      </c>
      <c r="B306" s="240" t="str">
        <f>IF(AND(Syst.="Reloaded",Primes&lt;Atouts!E306),"",A306)</f>
        <v/>
      </c>
      <c r="C306" s="238" t="s">
        <v>3743</v>
      </c>
      <c r="D306" s="238" t="s">
        <v>2913</v>
      </c>
      <c r="E306" s="238">
        <f>VLOOKUP(D306,Tableaux!$BS:$BU,3,FALSE)</f>
        <v>80</v>
      </c>
      <c r="F306" s="238">
        <v>5</v>
      </c>
      <c r="G306" s="399" t="s">
        <v>3168</v>
      </c>
      <c r="H306" s="67" t="s">
        <v>1089</v>
      </c>
      <c r="I306" s="67" t="s">
        <v>4941</v>
      </c>
      <c r="J306" s="238" t="s">
        <v>1005</v>
      </c>
      <c r="K306" s="238" t="s">
        <v>4384</v>
      </c>
    </row>
    <row r="307" spans="1:11" ht="24" customHeight="1" x14ac:dyDescent="0.3">
      <c r="A307" s="240" t="s">
        <v>286</v>
      </c>
      <c r="B307" s="240" t="str">
        <f>IF(AND(Syst.="Reloaded",Primes&lt;Atouts!E307),"",A307)</f>
        <v>Sommeil léger</v>
      </c>
      <c r="C307" s="238" t="s">
        <v>3755</v>
      </c>
      <c r="D307" s="238" t="s">
        <v>3754</v>
      </c>
      <c r="E307" s="238">
        <f>VLOOKUP(D307,Tableaux!$BS:$BU,3,FALSE)</f>
        <v>0</v>
      </c>
      <c r="F307" s="238">
        <v>1</v>
      </c>
      <c r="G307" s="399" t="s">
        <v>3168</v>
      </c>
      <c r="H307" s="67" t="s">
        <v>1572</v>
      </c>
      <c r="I307" s="67" t="s">
        <v>3571</v>
      </c>
      <c r="J307" s="238" t="s">
        <v>1005</v>
      </c>
      <c r="K307" s="242" t="s">
        <v>3168</v>
      </c>
    </row>
    <row r="308" spans="1:11" ht="24" customHeight="1" x14ac:dyDescent="0.3">
      <c r="A308" s="240" t="s">
        <v>3478</v>
      </c>
      <c r="B308" s="240" t="str">
        <f>IF(OR(OR(Syst.&lt;&gt;"Reloaded",déAme&lt;6),(AND(Syst.="Reloaded",Primes&lt;Atouts!E308))),"",A308)</f>
        <v/>
      </c>
      <c r="C308" s="238" t="s">
        <v>3748</v>
      </c>
      <c r="D308" s="238" t="s">
        <v>3751</v>
      </c>
      <c r="E308" s="238">
        <f>VLOOKUP(D308,Tableaux!$BS:$BU,3,FALSE)</f>
        <v>20</v>
      </c>
      <c r="F308" s="238">
        <v>3</v>
      </c>
      <c r="G308" s="243" t="s">
        <v>3161</v>
      </c>
      <c r="H308" s="68" t="s">
        <v>3168</v>
      </c>
      <c r="I308" s="67" t="s">
        <v>3480</v>
      </c>
      <c r="J308" s="242" t="s">
        <v>3168</v>
      </c>
      <c r="K308" s="238" t="s">
        <v>3476</v>
      </c>
    </row>
    <row r="309" spans="1:11" ht="24" customHeight="1" x14ac:dyDescent="0.3">
      <c r="A309" s="240" t="s">
        <v>3482</v>
      </c>
      <c r="B309" s="240" t="str">
        <f>IF(OR(OR(Syst.&lt;&gt;"Reloaded",déAme&lt;6,source1=FALSE),(AND(Syst.="Reloaded",Primes&lt;Atouts!E309))),"",A309)</f>
        <v/>
      </c>
      <c r="C309" s="238" t="s">
        <v>3748</v>
      </c>
      <c r="D309" s="238" t="s">
        <v>3752</v>
      </c>
      <c r="E309" s="238">
        <f>VLOOKUP(D309,Tableaux!$BS:$BU,3,FALSE)</f>
        <v>40</v>
      </c>
      <c r="F309" s="238">
        <v>5</v>
      </c>
      <c r="G309" s="243" t="s">
        <v>3478</v>
      </c>
      <c r="H309" s="68" t="s">
        <v>3168</v>
      </c>
      <c r="I309" s="67" t="s">
        <v>3481</v>
      </c>
      <c r="J309" s="242" t="s">
        <v>3168</v>
      </c>
      <c r="K309" s="238" t="s">
        <v>3476</v>
      </c>
    </row>
    <row r="310" spans="1:11" ht="24" customHeight="1" x14ac:dyDescent="0.3">
      <c r="A310" s="240" t="s">
        <v>3483</v>
      </c>
      <c r="B310" s="240" t="str">
        <f>IF(OR(OR(Syst.&lt;&gt;"Reloaded",déAme&lt;6,source1=FALSE),(AND(Syst.="Reloaded",Primes&lt;Atouts!E310))),"",A310)</f>
        <v/>
      </c>
      <c r="C310" s="238" t="s">
        <v>3748</v>
      </c>
      <c r="D310" s="238" t="s">
        <v>2913</v>
      </c>
      <c r="E310" s="238">
        <f>VLOOKUP(D310,Tableaux!$BS:$BU,3,FALSE)</f>
        <v>80</v>
      </c>
      <c r="F310" s="238">
        <v>7</v>
      </c>
      <c r="G310" s="243" t="s">
        <v>3482</v>
      </c>
      <c r="H310" s="68" t="s">
        <v>3168</v>
      </c>
      <c r="I310" s="67" t="s">
        <v>4258</v>
      </c>
      <c r="J310" s="242" t="s">
        <v>3168</v>
      </c>
      <c r="K310" s="238" t="s">
        <v>3476</v>
      </c>
    </row>
    <row r="311" spans="1:11" ht="42" customHeight="1" x14ac:dyDescent="0.3">
      <c r="A311" s="240" t="s">
        <v>5239</v>
      </c>
      <c r="B311" s="240" t="str">
        <f>IF(OR(AND(Détérré=TRUE),(AND(Syst.="Reloaded",Primes&gt;Atouts!E311))),A311,"")</f>
        <v/>
      </c>
      <c r="C311" s="238" t="s">
        <v>3745</v>
      </c>
      <c r="D311" s="238" t="s">
        <v>3754</v>
      </c>
      <c r="E311" s="238">
        <f>VLOOKUP(D311,Tableaux!$BS:$BU,3,FALSE)</f>
        <v>0</v>
      </c>
      <c r="F311" s="238">
        <v>2</v>
      </c>
      <c r="G311" s="243" t="s">
        <v>307</v>
      </c>
      <c r="H311" s="68" t="s">
        <v>2540</v>
      </c>
      <c r="I311" s="67" t="s">
        <v>5240</v>
      </c>
      <c r="J311" s="242"/>
    </row>
    <row r="312" spans="1:11" ht="24" customHeight="1" x14ac:dyDescent="0.3">
      <c r="A312" s="240" t="s">
        <v>3393</v>
      </c>
      <c r="B312" s="240" t="str">
        <f>IF(AND(Syst.="Reloaded",Primes&lt;Atouts!E312),"",A312)</f>
        <v/>
      </c>
      <c r="C312" s="238" t="s">
        <v>3747</v>
      </c>
      <c r="D312" s="238" t="s">
        <v>2913</v>
      </c>
      <c r="E312" s="238">
        <f>VLOOKUP(D312,Tableaux!$BS:$BU,3,FALSE)</f>
        <v>80</v>
      </c>
      <c r="F312" s="238">
        <v>5</v>
      </c>
      <c r="G312" s="399" t="s">
        <v>3168</v>
      </c>
      <c r="H312" s="67" t="s">
        <v>3394</v>
      </c>
      <c r="I312" s="67" t="s">
        <v>3837</v>
      </c>
      <c r="J312" s="242" t="s">
        <v>3168</v>
      </c>
      <c r="K312" s="238" t="s">
        <v>3392</v>
      </c>
    </row>
    <row r="313" spans="1:11" ht="24" customHeight="1" x14ac:dyDescent="0.3">
      <c r="A313" s="240" t="str">
        <f>IF(OR(SexePerso="Féminin",'Perso Reloaded'!$C$6="Féminin"),"Tacticienne","Tacticien")</f>
        <v>Tacticien</v>
      </c>
      <c r="B313" s="240" t="str">
        <f>IF(OR(OR(Cmd=FALSE),(AND(Syst.="Reloaded",Primes&lt;Atouts!E313))),"",A313)</f>
        <v/>
      </c>
      <c r="C313" s="238" t="s">
        <v>3744</v>
      </c>
      <c r="D313" s="238" t="s">
        <v>3751</v>
      </c>
      <c r="E313" s="238">
        <f>VLOOKUP(D313,Tableaux!$BS:$BU,3,FALSE)</f>
        <v>20</v>
      </c>
      <c r="F313" s="238">
        <v>3</v>
      </c>
      <c r="G313" s="243" t="s">
        <v>3328</v>
      </c>
      <c r="H313" s="67" t="s">
        <v>3330</v>
      </c>
      <c r="I313" s="67" t="s">
        <v>3838</v>
      </c>
      <c r="J313" s="242" t="s">
        <v>3168</v>
      </c>
      <c r="K313" s="238" t="s">
        <v>3322</v>
      </c>
    </row>
    <row r="314" spans="1:11" ht="24" customHeight="1" x14ac:dyDescent="0.3">
      <c r="A314" s="240" t="s">
        <v>292</v>
      </c>
      <c r="B314" s="240" t="str">
        <f>IF(OR(OR(déIntellect&lt;8),(AND(Syst.="Reloaded",Primes&lt;Atouts!E314))),"",A314)</f>
        <v/>
      </c>
      <c r="C314" s="238" t="s">
        <v>3743</v>
      </c>
      <c r="D314" s="238" t="s">
        <v>3751</v>
      </c>
      <c r="E314" s="238">
        <f>VLOOKUP(D314,Tableaux!$BS:$BU,3,FALSE)</f>
        <v>20</v>
      </c>
      <c r="F314" s="238">
        <v>1</v>
      </c>
      <c r="G314" s="243" t="s">
        <v>3303</v>
      </c>
      <c r="H314" s="67" t="s">
        <v>1510</v>
      </c>
      <c r="I314" s="67" t="s">
        <v>3302</v>
      </c>
      <c r="J314" s="238" t="s">
        <v>1090</v>
      </c>
      <c r="K314" s="238" t="s">
        <v>3298</v>
      </c>
    </row>
    <row r="315" spans="1:11" ht="43.8" customHeight="1" x14ac:dyDescent="0.3">
      <c r="A315" s="240" t="s">
        <v>5207</v>
      </c>
      <c r="B315" s="240" t="str">
        <f>IF(OR(AND(Détérré=TRUE),(AND(Syst.="Reloaded",Primes&gt;Atouts!E315))),A315,"")</f>
        <v/>
      </c>
      <c r="C315" s="238" t="s">
        <v>3745</v>
      </c>
      <c r="D315" s="238" t="s">
        <v>3754</v>
      </c>
      <c r="E315" s="238">
        <f>VLOOKUP(D315,Tableaux!$BS:$BU,3,FALSE)</f>
        <v>0</v>
      </c>
      <c r="F315" s="238">
        <v>2</v>
      </c>
      <c r="G315" s="243" t="s">
        <v>307</v>
      </c>
      <c r="H315" s="67" t="s">
        <v>5222</v>
      </c>
      <c r="I315" s="67" t="s">
        <v>5241</v>
      </c>
      <c r="J315" s="242" t="s">
        <v>3168</v>
      </c>
      <c r="K315" s="238" t="s">
        <v>5223</v>
      </c>
    </row>
    <row r="316" spans="1:11" ht="24" customHeight="1" x14ac:dyDescent="0.3">
      <c r="A316" s="240" t="str">
        <f>IF(OR(SexePerso="Féminin",'Perso Reloaded'!$C$6="Féminin"),"Tireuse d'Elite","Tireur d'Elite")</f>
        <v>Tireur d'Elite</v>
      </c>
      <c r="B316" s="240" t="str">
        <f>IF(AND(Syst.="Reloaded",Primes&lt;Atouts!E316),"",A316)</f>
        <v/>
      </c>
      <c r="C316" s="238" t="s">
        <v>3743</v>
      </c>
      <c r="D316" s="238" t="s">
        <v>3751</v>
      </c>
      <c r="E316" s="238">
        <f>VLOOKUP(D316,Tableaux!$BS:$BU,3,FALSE)</f>
        <v>20</v>
      </c>
      <c r="F316" s="238">
        <v>3</v>
      </c>
      <c r="G316" s="399" t="s">
        <v>3168</v>
      </c>
      <c r="H316" s="67" t="s">
        <v>4942</v>
      </c>
      <c r="I316" s="67" t="s">
        <v>4803</v>
      </c>
      <c r="J316" s="242" t="s">
        <v>3168</v>
      </c>
      <c r="K316" s="238" t="s">
        <v>3298</v>
      </c>
    </row>
    <row r="317" spans="1:11" ht="24" customHeight="1" x14ac:dyDescent="0.3">
      <c r="A317" s="240" t="s">
        <v>4212</v>
      </c>
      <c r="B317" s="240" t="str">
        <f>IF(OR(OR(déIntellect&lt;10),(AND(Syst.="Reloaded",Primes&lt;Atouts!E317))),"",A317)</f>
        <v/>
      </c>
      <c r="C317" s="238" t="s">
        <v>3749</v>
      </c>
      <c r="D317" s="238" t="s">
        <v>3754</v>
      </c>
      <c r="E317" s="238">
        <f>VLOOKUP(D317,Tableaux!$BS:$BU,3,FALSE)</f>
        <v>0</v>
      </c>
      <c r="F317" s="238">
        <v>2</v>
      </c>
      <c r="G317" s="399" t="s">
        <v>4213</v>
      </c>
      <c r="H317" s="67" t="s">
        <v>4216</v>
      </c>
      <c r="I317" s="67" t="s">
        <v>4214</v>
      </c>
      <c r="J317" s="242" t="s">
        <v>3168</v>
      </c>
      <c r="K317" s="238" t="s">
        <v>4215</v>
      </c>
    </row>
    <row r="318" spans="1:11" ht="45.6" customHeight="1" x14ac:dyDescent="0.3">
      <c r="A318" s="240" t="s">
        <v>5169</v>
      </c>
      <c r="B318" s="240" t="str">
        <f>IF(OR(AND(Détérré=TRUE,Calc!U214=TRUE),(AND(Syst.="Reloaded",Primes&gt;Atouts!E318))),A318,"")</f>
        <v/>
      </c>
      <c r="C318" s="238" t="s">
        <v>3745</v>
      </c>
      <c r="D318" s="238" t="s">
        <v>3753</v>
      </c>
      <c r="E318" s="238">
        <f>VLOOKUP(D318,Tableaux!$BS:$BU,3,FALSE)</f>
        <v>60</v>
      </c>
      <c r="F318" s="238">
        <v>5</v>
      </c>
      <c r="G318" s="243" t="s">
        <v>5180</v>
      </c>
      <c r="H318" s="68" t="s">
        <v>5181</v>
      </c>
      <c r="I318" s="68" t="s">
        <v>5181</v>
      </c>
      <c r="J318" s="242" t="s">
        <v>3168</v>
      </c>
      <c r="K318" s="238" t="s">
        <v>5179</v>
      </c>
    </row>
    <row r="319" spans="1:11" ht="24" customHeight="1" x14ac:dyDescent="0.3">
      <c r="A319" s="240" t="s">
        <v>3283</v>
      </c>
      <c r="B319" s="240" t="str">
        <f>IF(OR(OR(Enf_Chat=FALSE),(AND(Syst.="Reloaded",Primes&lt;Atouts!E319))),"",A319)</f>
        <v/>
      </c>
      <c r="C319" s="238" t="s">
        <v>3743</v>
      </c>
      <c r="D319" s="238" t="s">
        <v>3752</v>
      </c>
      <c r="E319" s="238">
        <f>VLOOKUP(D319,Tableaux!$BS:$BU,3,FALSE)</f>
        <v>40</v>
      </c>
      <c r="F319" s="238">
        <v>7</v>
      </c>
      <c r="G319" s="243" t="s">
        <v>3281</v>
      </c>
      <c r="H319" s="67" t="s">
        <v>3284</v>
      </c>
      <c r="I319" s="67" t="s">
        <v>3284</v>
      </c>
      <c r="J319" s="242" t="s">
        <v>3168</v>
      </c>
      <c r="K319" s="238" t="s">
        <v>3271</v>
      </c>
    </row>
    <row r="320" spans="1:11" ht="24" customHeight="1" x14ac:dyDescent="0.3">
      <c r="A320" s="240" t="s">
        <v>3643</v>
      </c>
      <c r="B320" s="240" t="str">
        <f>IF(OR(OR(croyant=FALSE,déAme&lt;8),(AND(Syst.="Reloaded",Primes&lt;Atouts!E320))),"",A320)</f>
        <v/>
      </c>
      <c r="C320" s="238" t="s">
        <v>3750</v>
      </c>
      <c r="D320" s="238" t="s">
        <v>3751</v>
      </c>
      <c r="E320" s="238">
        <f>VLOOKUP(D320,Tableaux!$BS:$BU,3,FALSE)</f>
        <v>20</v>
      </c>
      <c r="F320" s="238">
        <v>3</v>
      </c>
      <c r="G320" s="243" t="s">
        <v>5261</v>
      </c>
      <c r="H320" s="67" t="s">
        <v>3491</v>
      </c>
      <c r="I320" s="67" t="s">
        <v>3839</v>
      </c>
      <c r="J320" s="242" t="s">
        <v>3168</v>
      </c>
      <c r="K320" s="238" t="s">
        <v>3488</v>
      </c>
    </row>
    <row r="321" spans="1:11" ht="24" customHeight="1" x14ac:dyDescent="0.3">
      <c r="A321" s="240" t="str">
        <f>IF(OR(SexePerso="Féminin",'Perso Reloaded'!$C$6="Féminin"),"Tueuse de Géant","Tueur de Géant")</f>
        <v>Tueur de Géant</v>
      </c>
      <c r="B321" s="240" t="str">
        <f>IF(AND(Syst.="Reloaded",Primes&lt;Atouts!E321),"",A321)</f>
        <v/>
      </c>
      <c r="C321" s="238" t="s">
        <v>3743</v>
      </c>
      <c r="D321" s="238" t="s">
        <v>3752</v>
      </c>
      <c r="E321" s="238">
        <f>VLOOKUP(D321,Tableaux!$BS:$BU,3,FALSE)</f>
        <v>40</v>
      </c>
      <c r="F321" s="238">
        <v>5</v>
      </c>
      <c r="G321" s="399" t="s">
        <v>3168</v>
      </c>
      <c r="H321" s="67" t="s">
        <v>3309</v>
      </c>
      <c r="I321" s="67" t="s">
        <v>3309</v>
      </c>
      <c r="J321" s="242" t="s">
        <v>3168</v>
      </c>
      <c r="K321" s="238" t="s">
        <v>3298</v>
      </c>
    </row>
    <row r="322" spans="1:11" ht="24" customHeight="1" x14ac:dyDescent="0.3">
      <c r="A322" s="240" t="s">
        <v>5128</v>
      </c>
      <c r="B322" s="240" t="str">
        <f>IF(AND(OR(Syst.="Reloaded",Primes&lt;Atouts!E322,Calc!U27=FALSE)),"",A322)</f>
        <v/>
      </c>
      <c r="C322" s="238" t="s">
        <v>3749</v>
      </c>
      <c r="D322" s="238" t="s">
        <v>3754</v>
      </c>
      <c r="E322" s="238">
        <f>VLOOKUP(D322,Tableaux!$BS:$BU,3,FALSE)</f>
        <v>0</v>
      </c>
      <c r="F322" s="238">
        <v>2</v>
      </c>
      <c r="G322" s="399" t="s">
        <v>5129</v>
      </c>
      <c r="I322" s="67" t="s">
        <v>5130</v>
      </c>
      <c r="J322" s="242" t="s">
        <v>3168</v>
      </c>
      <c r="K322" s="238" t="s">
        <v>5127</v>
      </c>
    </row>
    <row r="323" spans="1:11" ht="24" customHeight="1" x14ac:dyDescent="0.3">
      <c r="A323" s="240" t="str">
        <f>IF(OR(SexePerso="Féminin",'Perso Reloaded'!$C$6="Féminin"),"Veinarde/Chanceuse","Veinard/Chanceux")</f>
        <v>Veinard/Chanceux</v>
      </c>
      <c r="B323" s="240" t="str">
        <f>IF(AND(Syst.="Reloaded",Primes&lt;Atouts!E323),"",A323)</f>
        <v>Veinard/Chanceux</v>
      </c>
      <c r="C323" s="238" t="s">
        <v>3755</v>
      </c>
      <c r="D323" s="238" t="s">
        <v>3754</v>
      </c>
      <c r="E323" s="238">
        <f>VLOOKUP(D323,Tableaux!$BS:$BU,3,FALSE)</f>
        <v>0</v>
      </c>
      <c r="F323" s="238">
        <v>3</v>
      </c>
      <c r="G323" s="399" t="s">
        <v>3168</v>
      </c>
      <c r="H323" s="67" t="s">
        <v>1511</v>
      </c>
      <c r="I323" s="67" t="s">
        <v>3578</v>
      </c>
      <c r="J323" s="238" t="s">
        <v>1005</v>
      </c>
      <c r="K323" s="238" t="s">
        <v>3160</v>
      </c>
    </row>
    <row r="324" spans="1:11" ht="24" customHeight="1" x14ac:dyDescent="0.3">
      <c r="A324" s="240" t="str">
        <f>IF(OR(SexePerso="Féminin",'Perso Reloaded'!$C$6="Féminin"),"Veinarde/Chanceuse (très)","Veinard/Chanceux (très)")</f>
        <v>Veinard/Chanceux (très)</v>
      </c>
      <c r="B324" s="240" t="str">
        <f>IF(OR(OR(Chanceux=FALSE),(AND(Syst.="Reloaded",Primes&lt;Atouts!E324))),"",A324)</f>
        <v/>
      </c>
      <c r="C324" s="238" t="s">
        <v>3755</v>
      </c>
      <c r="D324" s="238" t="s">
        <v>3754</v>
      </c>
      <c r="E324" s="238">
        <f>VLOOKUP(D324,Tableaux!$BS:$BU,3,FALSE)</f>
        <v>0</v>
      </c>
      <c r="F324" s="238">
        <v>5</v>
      </c>
      <c r="G324" s="243" t="s">
        <v>3163</v>
      </c>
      <c r="H324" s="67" t="s">
        <v>3164</v>
      </c>
      <c r="I324" s="67" t="s">
        <v>3577</v>
      </c>
      <c r="J324" s="238" t="s">
        <v>1005</v>
      </c>
      <c r="K324" s="68" t="s">
        <v>3168</v>
      </c>
    </row>
    <row r="325" spans="1:11" ht="24" customHeight="1" x14ac:dyDescent="0.3">
      <c r="A325" s="240" t="s">
        <v>3967</v>
      </c>
      <c r="B325" s="240" t="str">
        <f>IF(OR(OR(Ventile=FALSE),(AND(Syst.="Reloaded",Primes&lt;Atouts!E325))),"",A325)</f>
        <v/>
      </c>
      <c r="C325" s="238" t="s">
        <v>3743</v>
      </c>
      <c r="D325" s="238" t="s">
        <v>3752</v>
      </c>
      <c r="E325" s="238">
        <f>VLOOKUP(D325,Tableaux!$BS:$BU,3,FALSE)</f>
        <v>40</v>
      </c>
      <c r="F325" s="238">
        <v>5</v>
      </c>
      <c r="G325" s="243" t="s">
        <v>5081</v>
      </c>
      <c r="H325" s="68" t="s">
        <v>3966</v>
      </c>
      <c r="I325" s="68" t="s">
        <v>3962</v>
      </c>
      <c r="J325" s="242" t="s">
        <v>3168</v>
      </c>
      <c r="K325" s="238" t="s">
        <v>3960</v>
      </c>
    </row>
    <row r="326" spans="1:11" ht="24" customHeight="1" x14ac:dyDescent="0.3">
      <c r="A326" s="240" t="s">
        <v>3968</v>
      </c>
      <c r="B326" s="240" t="str">
        <f>IF(AND(Syst.="Reloaded",Primes&lt;Atouts!E326),"",A326)</f>
        <v/>
      </c>
      <c r="C326" s="238" t="s">
        <v>3743</v>
      </c>
      <c r="D326" s="238" t="s">
        <v>3751</v>
      </c>
      <c r="E326" s="238">
        <f>VLOOKUP(D326,Tableaux!$BS:$BU,3,FALSE)</f>
        <v>20</v>
      </c>
      <c r="F326" s="238">
        <v>3</v>
      </c>
      <c r="G326" s="243" t="s">
        <v>3296</v>
      </c>
      <c r="H326" s="68" t="s">
        <v>3965</v>
      </c>
      <c r="I326" s="68" t="s">
        <v>3961</v>
      </c>
      <c r="J326" s="242" t="s">
        <v>3168</v>
      </c>
      <c r="K326" s="238" t="s">
        <v>3960</v>
      </c>
    </row>
    <row r="327" spans="1:11" ht="24" customHeight="1" x14ac:dyDescent="0.3">
      <c r="A327" s="240" t="str">
        <f>IF(OR(SexePerso="Féminin",'Perso Reloaded'!$C$6="Féminin"),"Vertueuse/Conviction","Vertueux/Conviction")</f>
        <v>Vertueux/Conviction</v>
      </c>
      <c r="B327" s="240" t="str">
        <f>IF(OR(OR(croyant=FALSE,déAme&lt;6),(AND(Syst.="Reloaded",Primes&lt;Atouts!E327))),"",A327)</f>
        <v/>
      </c>
      <c r="C327" s="238" t="s">
        <v>3748</v>
      </c>
      <c r="D327" s="238" t="s">
        <v>3754</v>
      </c>
      <c r="E327" s="238">
        <f>VLOOKUP(D327,Tableaux!$BS:$BU,3,FALSE)</f>
        <v>0</v>
      </c>
      <c r="F327" s="238">
        <v>3</v>
      </c>
      <c r="G327" s="243" t="s">
        <v>5268</v>
      </c>
      <c r="H327" s="67" t="s">
        <v>1512</v>
      </c>
      <c r="I327" s="67" t="s">
        <v>5272</v>
      </c>
      <c r="J327" s="238" t="s">
        <v>1007</v>
      </c>
      <c r="K327" s="238" t="s">
        <v>5142</v>
      </c>
    </row>
    <row r="328" spans="1:11" ht="24" customHeight="1" x14ac:dyDescent="0.3">
      <c r="A328" s="240" t="s">
        <v>293</v>
      </c>
      <c r="B328" s="240" t="str">
        <f>IF(AND(Syst.="Reloaded",Primes&lt;Atouts!E328),"",A328)</f>
        <v>Vétéran du Weird West</v>
      </c>
      <c r="C328" s="238" t="s">
        <v>3755</v>
      </c>
      <c r="D328" s="238" t="s">
        <v>3754</v>
      </c>
      <c r="E328" s="238">
        <f>VLOOKUP(D328,Tableaux!$BS:$BU,3,FALSE)</f>
        <v>0</v>
      </c>
      <c r="F328" s="238">
        <v>0</v>
      </c>
      <c r="G328" s="243" t="s">
        <v>3205</v>
      </c>
      <c r="H328" s="67" t="s">
        <v>1091</v>
      </c>
      <c r="I328" s="67" t="s">
        <v>3206</v>
      </c>
      <c r="J328" s="238" t="s">
        <v>1090</v>
      </c>
      <c r="K328" s="68" t="s">
        <v>3168</v>
      </c>
    </row>
    <row r="329" spans="1:11" ht="24" customHeight="1" x14ac:dyDescent="0.3">
      <c r="A329" s="240" t="s">
        <v>3645</v>
      </c>
      <c r="B329" s="240" t="str">
        <f>IF(OR(OR(occulte=FALSE),(AND(Syst.="Reloaded",Primes&lt;Atouts!E329))),"",A329)</f>
        <v/>
      </c>
      <c r="C329" s="238" t="s">
        <v>3755</v>
      </c>
      <c r="D329" s="238" t="s">
        <v>3753</v>
      </c>
      <c r="E329" s="238">
        <f>VLOOKUP(D329,Tableaux!$BS:$BU,3,FALSE)</f>
        <v>60</v>
      </c>
      <c r="F329" s="238">
        <v>4</v>
      </c>
      <c r="G329" s="243" t="s">
        <v>3877</v>
      </c>
      <c r="H329" s="67" t="s">
        <v>1092</v>
      </c>
      <c r="I329" s="67" t="s">
        <v>3511</v>
      </c>
      <c r="J329" s="238" t="s">
        <v>1077</v>
      </c>
      <c r="K329" s="238" t="s">
        <v>3498</v>
      </c>
    </row>
    <row r="330" spans="1:11" ht="24" customHeight="1" x14ac:dyDescent="0.3">
      <c r="A330" s="240" t="s">
        <v>5209</v>
      </c>
      <c r="B330" s="240" t="str">
        <f>IF(OR(AND(Détérré=TRUE),(AND(Syst.="Reloaded",Primes&gt;Atouts!E330))),A330,"")</f>
        <v/>
      </c>
      <c r="C330" s="238" t="s">
        <v>3745</v>
      </c>
      <c r="D330" s="238" t="s">
        <v>3751</v>
      </c>
      <c r="E330" s="238">
        <f>VLOOKUP(D330,Tableaux!$BS:$BU,3,FALSE)</f>
        <v>20</v>
      </c>
      <c r="F330" s="238">
        <v>3</v>
      </c>
      <c r="G330" s="243" t="s">
        <v>307</v>
      </c>
      <c r="H330" s="67" t="s">
        <v>5224</v>
      </c>
      <c r="I330" s="67" t="s">
        <v>5224</v>
      </c>
      <c r="J330" s="242" t="s">
        <v>3168</v>
      </c>
      <c r="K330" s="238" t="s">
        <v>5223</v>
      </c>
    </row>
    <row r="331" spans="1:11" ht="24" customHeight="1" x14ac:dyDescent="0.3">
      <c r="A331" s="240" t="s">
        <v>1384</v>
      </c>
      <c r="B331" s="240" t="str">
        <f>IF(OR(OR(EthniePerso&lt;&gt;"Indien"),(AND(Syst.="Reloaded",Primes&lt;Atouts!E331))),"",A331)</f>
        <v/>
      </c>
      <c r="C331" s="238" t="s">
        <v>3750</v>
      </c>
      <c r="D331" s="238" t="s">
        <v>3754</v>
      </c>
      <c r="E331" s="238">
        <f>VLOOKUP(D331,Tableaux!$BS:$BU,3,FALSE)</f>
        <v>0</v>
      </c>
      <c r="F331" s="238">
        <v>3</v>
      </c>
      <c r="G331" s="243" t="s">
        <v>301</v>
      </c>
      <c r="H331" s="67" t="s">
        <v>1093</v>
      </c>
      <c r="I331" s="67" t="s">
        <v>1093</v>
      </c>
      <c r="J331" s="238" t="s">
        <v>1015</v>
      </c>
      <c r="K331" s="68" t="s">
        <v>3168</v>
      </c>
    </row>
    <row r="332" spans="1:11" ht="24" customHeight="1" x14ac:dyDescent="0.3">
      <c r="A332" s="240" t="s">
        <v>1385</v>
      </c>
      <c r="B332" s="240" t="str">
        <f>IF(OR(OR(EthniePerso&lt;&gt;"Indien"),(AND(Syst.="Reloaded",Primes&lt;Atouts!E332))),"",A332)</f>
        <v/>
      </c>
      <c r="C332" s="238" t="s">
        <v>3755</v>
      </c>
      <c r="D332" s="238" t="s">
        <v>3754</v>
      </c>
      <c r="E332" s="238">
        <f>VLOOKUP(D332,Tableaux!$BS:$BU,3,FALSE)</f>
        <v>0</v>
      </c>
      <c r="F332" s="238">
        <v>1</v>
      </c>
      <c r="G332" s="243" t="s">
        <v>301</v>
      </c>
      <c r="H332" s="67" t="s">
        <v>1094</v>
      </c>
      <c r="I332" s="67" t="s">
        <v>1094</v>
      </c>
      <c r="J332" s="238" t="s">
        <v>1015</v>
      </c>
      <c r="K332" s="242" t="s">
        <v>3168</v>
      </c>
    </row>
    <row r="333" spans="1:11" ht="24" customHeight="1" x14ac:dyDescent="0.3">
      <c r="A333" s="240" t="str">
        <f>IF(OR(SexePerso="Féminin",'Perso Reloaded'!$C$6="Féminin"),"Voleuse","Voleur")</f>
        <v>Voleur</v>
      </c>
      <c r="B333" s="240" t="str">
        <f>IF(OR(OR(déAgilité&lt;8),(AND(Syst.="Reloaded",Primes&lt;Atouts!E333))),"",A333)</f>
        <v/>
      </c>
      <c r="C333" s="238" t="s">
        <v>3749</v>
      </c>
      <c r="D333" s="238" t="s">
        <v>3754</v>
      </c>
      <c r="E333" s="238">
        <f>VLOOKUP(D333,Tableaux!$BS:$BU,3,FALSE)</f>
        <v>0</v>
      </c>
      <c r="F333" s="238">
        <v>2</v>
      </c>
      <c r="G333" s="243" t="s">
        <v>3973</v>
      </c>
      <c r="H333" s="68" t="s">
        <v>3971</v>
      </c>
      <c r="I333" s="68" t="s">
        <v>3972</v>
      </c>
      <c r="J333" s="242" t="s">
        <v>3168</v>
      </c>
      <c r="K333" s="238" t="s">
        <v>3960</v>
      </c>
    </row>
    <row r="334" spans="1:11" ht="24" customHeight="1" x14ac:dyDescent="0.3">
      <c r="A334" s="240" t="s">
        <v>3407</v>
      </c>
      <c r="B334" s="240" t="str">
        <f>IF(AND(Syst.="Reloaded",Primes&lt;Atouts!E334),"",A334)</f>
        <v>Volonté de Fer</v>
      </c>
      <c r="C334" s="238" t="s">
        <v>3750</v>
      </c>
      <c r="D334" s="238" t="s">
        <v>3754</v>
      </c>
      <c r="E334" s="238">
        <f>VLOOKUP(D334,Tableaux!$BS:$BU,3,FALSE)</f>
        <v>0</v>
      </c>
      <c r="F334" s="238">
        <v>3</v>
      </c>
      <c r="G334" s="243" t="s">
        <v>3408</v>
      </c>
      <c r="H334" s="68" t="s">
        <v>3410</v>
      </c>
      <c r="I334" s="68" t="s">
        <v>3409</v>
      </c>
      <c r="J334" s="242" t="s">
        <v>3168</v>
      </c>
      <c r="K334" s="238" t="s">
        <v>3411</v>
      </c>
    </row>
    <row r="335" spans="1:11" ht="21.6" x14ac:dyDescent="0.3">
      <c r="A335" s="238" t="s">
        <v>4134</v>
      </c>
      <c r="B335" s="240" t="str">
        <f>IF(OR(AND(Détérré=TRUE),(AND(Syst.="Reloaded",Primes&gt;Atouts!E335))),A335,"")</f>
        <v/>
      </c>
      <c r="C335" s="238" t="s">
        <v>3745</v>
      </c>
      <c r="D335" s="238" t="s">
        <v>3751</v>
      </c>
      <c r="E335" s="238">
        <f>VLOOKUP(D335,Tableaux!$BS:$BU,3,FALSE)</f>
        <v>20</v>
      </c>
      <c r="F335" s="238">
        <v>3</v>
      </c>
      <c r="G335" s="243" t="s">
        <v>307</v>
      </c>
      <c r="H335" s="68" t="s">
        <v>2538</v>
      </c>
      <c r="I335" s="67" t="s">
        <v>5238</v>
      </c>
      <c r="J335" s="238" t="s">
        <v>2112</v>
      </c>
      <c r="K335" s="242" t="s">
        <v>3168</v>
      </c>
    </row>
  </sheetData>
  <sortState xmlns:xlrd2="http://schemas.microsoft.com/office/spreadsheetml/2017/richdata2" ref="A4:K335">
    <sortCondition ref="A4:A335"/>
  </sortState>
  <phoneticPr fontId="87" type="noConversion"/>
  <dataValidations count="2">
    <dataValidation type="list" allowBlank="1" showInputMessage="1" showErrorMessage="1" sqref="C1:C1048576" xr:uid="{00000000-0002-0000-0A00-000000000000}">
      <formula1>TypesAtout</formula1>
    </dataValidation>
    <dataValidation type="list" allowBlank="1" showInputMessage="1" showErrorMessage="1" sqref="D1:E1048576" xr:uid="{00000000-0002-0000-0A00-000001000000}">
      <formula1>Rang</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tabColor theme="3" tint="0.39997558519241921"/>
  </sheetPr>
  <dimension ref="A1:I206"/>
  <sheetViews>
    <sheetView workbookViewId="0">
      <pane ySplit="1" topLeftCell="A2" activePane="bottomLeft" state="frozen"/>
      <selection pane="bottomLeft" activeCell="D42" sqref="D42"/>
    </sheetView>
  </sheetViews>
  <sheetFormatPr baseColWidth="10" defaultRowHeight="14.4" x14ac:dyDescent="0.3"/>
  <cols>
    <col min="1" max="1" width="33" customWidth="1"/>
    <col min="2" max="2" width="17.109375" style="240" customWidth="1"/>
    <col min="3" max="3" width="4.6640625" style="58" customWidth="1"/>
    <col min="4" max="4" width="4.44140625" style="58" customWidth="1"/>
    <col min="5" max="5" width="22.44140625" style="65" customWidth="1"/>
    <col min="6" max="7" width="80.109375" style="236" customWidth="1"/>
    <col min="8" max="9" width="29.109375" customWidth="1"/>
  </cols>
  <sheetData>
    <row r="1" spans="1:9" s="78" customFormat="1" ht="22.5" customHeight="1" x14ac:dyDescent="0.3">
      <c r="A1" s="78" t="s">
        <v>0</v>
      </c>
      <c r="B1" s="264"/>
      <c r="C1" s="262" t="s">
        <v>3759</v>
      </c>
      <c r="D1" s="263" t="s">
        <v>214</v>
      </c>
      <c r="E1" s="78" t="s">
        <v>4946</v>
      </c>
      <c r="F1" s="170" t="s">
        <v>3068</v>
      </c>
      <c r="G1" s="170" t="s">
        <v>3067</v>
      </c>
      <c r="H1" s="78" t="s">
        <v>3069</v>
      </c>
      <c r="I1" s="78" t="s">
        <v>3070</v>
      </c>
    </row>
    <row r="2" spans="1:9" ht="22.5" customHeight="1" x14ac:dyDescent="0.3">
      <c r="A2" s="240" t="s">
        <v>3646</v>
      </c>
      <c r="B2" s="240" t="s">
        <v>3646</v>
      </c>
      <c r="C2" s="58" t="s">
        <v>3758</v>
      </c>
      <c r="D2" s="58">
        <v>-1</v>
      </c>
      <c r="F2" s="236" t="s">
        <v>1100</v>
      </c>
      <c r="G2" s="236" t="s">
        <v>4263</v>
      </c>
      <c r="H2" t="s">
        <v>1005</v>
      </c>
      <c r="I2" t="s">
        <v>3113</v>
      </c>
    </row>
    <row r="3" spans="1:9" ht="22.5" customHeight="1" x14ac:dyDescent="0.3">
      <c r="A3" s="240" t="s">
        <v>3647</v>
      </c>
      <c r="B3" s="240" t="s">
        <v>3647</v>
      </c>
      <c r="C3" s="58" t="s">
        <v>3757</v>
      </c>
      <c r="D3" s="58">
        <v>-3</v>
      </c>
      <c r="F3" s="236" t="s">
        <v>1101</v>
      </c>
      <c r="G3" s="236" t="s">
        <v>4264</v>
      </c>
      <c r="H3" t="s">
        <v>1005</v>
      </c>
      <c r="I3" t="s">
        <v>3113</v>
      </c>
    </row>
    <row r="4" spans="1:9" ht="22.5" customHeight="1" x14ac:dyDescent="0.3">
      <c r="A4" s="240" t="s">
        <v>1523</v>
      </c>
      <c r="B4" s="240" t="s">
        <v>1523</v>
      </c>
      <c r="C4" s="58" t="s">
        <v>3758</v>
      </c>
      <c r="D4" s="58">
        <v>-1</v>
      </c>
      <c r="F4" s="236" t="s">
        <v>5094</v>
      </c>
      <c r="G4" s="236" t="s">
        <v>5093</v>
      </c>
      <c r="H4" t="s">
        <v>1102</v>
      </c>
      <c r="I4" s="239" t="s">
        <v>5091</v>
      </c>
    </row>
    <row r="5" spans="1:9" ht="22.5" customHeight="1" x14ac:dyDescent="0.3">
      <c r="A5" s="240" t="s">
        <v>5092</v>
      </c>
      <c r="B5" s="240" t="str">
        <f>IF(Calc!U91=TRUE,A5,"")</f>
        <v/>
      </c>
      <c r="C5" s="58" t="s">
        <v>3758</v>
      </c>
      <c r="D5" s="58">
        <v>-2</v>
      </c>
      <c r="E5" s="65" t="s">
        <v>1160</v>
      </c>
      <c r="F5" s="236" t="s">
        <v>5095</v>
      </c>
      <c r="G5" s="236" t="s">
        <v>5089</v>
      </c>
      <c r="H5" t="s">
        <v>1102</v>
      </c>
      <c r="I5" s="239" t="s">
        <v>5091</v>
      </c>
    </row>
    <row r="6" spans="1:9" ht="22.5" customHeight="1" x14ac:dyDescent="0.3">
      <c r="A6" s="240" t="s">
        <v>1524</v>
      </c>
      <c r="B6" s="240" t="str">
        <f>IF(Calc!U93=TRUE,A6,"")</f>
        <v/>
      </c>
      <c r="C6" s="58" t="s">
        <v>3757</v>
      </c>
      <c r="D6" s="58">
        <v>-3</v>
      </c>
      <c r="E6" s="65" t="s">
        <v>1160</v>
      </c>
      <c r="F6" s="236" t="s">
        <v>5096</v>
      </c>
      <c r="G6" s="236" t="s">
        <v>5090</v>
      </c>
      <c r="H6" t="s">
        <v>1102</v>
      </c>
      <c r="I6" s="239" t="s">
        <v>5091</v>
      </c>
    </row>
    <row r="7" spans="1:9" ht="22.5" customHeight="1" x14ac:dyDescent="0.3">
      <c r="A7" s="240" t="s">
        <v>1525</v>
      </c>
      <c r="B7" s="240" t="str">
        <f>IF(Calc!U93=TRUE,A7,"")</f>
        <v/>
      </c>
      <c r="C7" s="58" t="s">
        <v>3757</v>
      </c>
      <c r="D7" s="58">
        <v>-4</v>
      </c>
      <c r="E7" s="65" t="s">
        <v>1160</v>
      </c>
      <c r="F7" s="236" t="s">
        <v>5097</v>
      </c>
      <c r="G7" s="236" t="s">
        <v>5099</v>
      </c>
      <c r="H7" t="s">
        <v>1102</v>
      </c>
      <c r="I7" s="239" t="s">
        <v>5091</v>
      </c>
    </row>
    <row r="8" spans="1:9" ht="22.5" customHeight="1" x14ac:dyDescent="0.3">
      <c r="A8" s="240" t="s">
        <v>1526</v>
      </c>
      <c r="B8" s="240" t="str">
        <f>IF(Calc!U93=TRUE,A8,"")</f>
        <v/>
      </c>
      <c r="C8" s="58" t="s">
        <v>3757</v>
      </c>
      <c r="D8" s="58">
        <v>-5</v>
      </c>
      <c r="E8" s="65" t="s">
        <v>1160</v>
      </c>
      <c r="F8" s="236" t="s">
        <v>5098</v>
      </c>
      <c r="G8" s="236" t="s">
        <v>5100</v>
      </c>
      <c r="H8" t="s">
        <v>1102</v>
      </c>
      <c r="I8" s="239" t="s">
        <v>5091</v>
      </c>
    </row>
    <row r="9" spans="1:9" ht="22.5" customHeight="1" x14ac:dyDescent="0.3">
      <c r="A9" s="240" t="s">
        <v>4793</v>
      </c>
      <c r="B9" s="240" t="s">
        <v>4793</v>
      </c>
      <c r="C9" s="58" t="s">
        <v>3758</v>
      </c>
      <c r="D9" s="58">
        <v>-2</v>
      </c>
      <c r="F9" s="236" t="s">
        <v>4797</v>
      </c>
      <c r="G9" s="236" t="s">
        <v>4795</v>
      </c>
      <c r="H9" s="239" t="s">
        <v>3168</v>
      </c>
      <c r="I9" t="s">
        <v>4791</v>
      </c>
    </row>
    <row r="10" spans="1:9" ht="22.5" customHeight="1" x14ac:dyDescent="0.3">
      <c r="A10" s="240" t="s">
        <v>4794</v>
      </c>
      <c r="B10" s="240" t="s">
        <v>4794</v>
      </c>
      <c r="C10" s="58" t="s">
        <v>3757</v>
      </c>
      <c r="D10" s="58">
        <v>-4</v>
      </c>
      <c r="F10" s="236" t="s">
        <v>4798</v>
      </c>
      <c r="G10" s="236" t="s">
        <v>4796</v>
      </c>
      <c r="H10" s="239" t="s">
        <v>3168</v>
      </c>
      <c r="I10" t="s">
        <v>4791</v>
      </c>
    </row>
    <row r="11" spans="1:9" ht="22.5" customHeight="1" x14ac:dyDescent="0.3">
      <c r="A11" s="240" t="s">
        <v>225</v>
      </c>
      <c r="B11" s="240" t="s">
        <v>225</v>
      </c>
      <c r="C11" s="58" t="s">
        <v>3758</v>
      </c>
      <c r="D11" s="58">
        <v>-1</v>
      </c>
      <c r="F11" s="236" t="s">
        <v>1513</v>
      </c>
      <c r="G11" s="236" t="s">
        <v>3622</v>
      </c>
      <c r="H11" t="s">
        <v>1090</v>
      </c>
      <c r="I11" s="239" t="s">
        <v>3168</v>
      </c>
    </row>
    <row r="12" spans="1:9" ht="22.5" customHeight="1" x14ac:dyDescent="0.3">
      <c r="A12" s="240" t="s">
        <v>222</v>
      </c>
      <c r="B12" s="240" t="s">
        <v>222</v>
      </c>
      <c r="C12" s="58" t="s">
        <v>3758</v>
      </c>
      <c r="D12" s="58">
        <v>-2</v>
      </c>
      <c r="F12" s="236" t="s">
        <v>1514</v>
      </c>
      <c r="G12" s="236" t="s">
        <v>3623</v>
      </c>
      <c r="H12" t="s">
        <v>1090</v>
      </c>
      <c r="I12" s="239" t="s">
        <v>3168</v>
      </c>
    </row>
    <row r="13" spans="1:9" ht="22.5" customHeight="1" x14ac:dyDescent="0.3">
      <c r="A13" s="240" t="s">
        <v>223</v>
      </c>
      <c r="B13" s="240" t="s">
        <v>223</v>
      </c>
      <c r="C13" s="58" t="s">
        <v>3757</v>
      </c>
      <c r="D13" s="58">
        <v>-3</v>
      </c>
      <c r="F13" s="236" t="s">
        <v>1515</v>
      </c>
      <c r="G13" s="236" t="s">
        <v>3624</v>
      </c>
      <c r="H13" t="s">
        <v>1090</v>
      </c>
      <c r="I13" s="239" t="s">
        <v>3168</v>
      </c>
    </row>
    <row r="14" spans="1:9" ht="22.5" customHeight="1" x14ac:dyDescent="0.3">
      <c r="A14" s="240" t="s">
        <v>224</v>
      </c>
      <c r="B14" s="240" t="s">
        <v>224</v>
      </c>
      <c r="C14" s="58" t="s">
        <v>3757</v>
      </c>
      <c r="D14" s="58">
        <v>-4</v>
      </c>
      <c r="F14" s="236" t="s">
        <v>1516</v>
      </c>
      <c r="G14" s="236" t="s">
        <v>3625</v>
      </c>
      <c r="H14" t="s">
        <v>1090</v>
      </c>
      <c r="I14" s="239" t="s">
        <v>3168</v>
      </c>
    </row>
    <row r="15" spans="1:9" ht="22.5" customHeight="1" x14ac:dyDescent="0.3">
      <c r="A15" s="240" t="s">
        <v>221</v>
      </c>
      <c r="B15" s="240" t="s">
        <v>221</v>
      </c>
      <c r="C15" s="58" t="s">
        <v>3757</v>
      </c>
      <c r="D15" s="58">
        <v>-5</v>
      </c>
      <c r="F15" s="236" t="s">
        <v>1517</v>
      </c>
      <c r="G15" s="236" t="s">
        <v>4625</v>
      </c>
      <c r="H15" t="s">
        <v>1090</v>
      </c>
      <c r="I15" s="239" t="s">
        <v>3168</v>
      </c>
    </row>
    <row r="16" spans="1:9" ht="22.5" customHeight="1" x14ac:dyDescent="0.3">
      <c r="A16" s="240" t="s">
        <v>3073</v>
      </c>
      <c r="B16" s="240" t="s">
        <v>3073</v>
      </c>
      <c r="C16" s="58" t="s">
        <v>3758</v>
      </c>
      <c r="D16" s="58">
        <v>-2</v>
      </c>
      <c r="F16" s="237" t="s">
        <v>3075</v>
      </c>
      <c r="G16" s="236" t="s">
        <v>3074</v>
      </c>
      <c r="H16" s="239" t="s">
        <v>3168</v>
      </c>
      <c r="I16" t="s">
        <v>3071</v>
      </c>
    </row>
    <row r="17" spans="1:9" ht="31.8" customHeight="1" x14ac:dyDescent="0.3">
      <c r="A17" s="240" t="s">
        <v>4906</v>
      </c>
      <c r="B17" s="240" t="str">
        <f>A17</f>
        <v>Antipathie animale</v>
      </c>
      <c r="C17" s="58" t="s">
        <v>3757</v>
      </c>
      <c r="D17" s="58">
        <v>-3</v>
      </c>
      <c r="F17" s="237" t="s">
        <v>4947</v>
      </c>
      <c r="G17" s="236" t="s">
        <v>4948</v>
      </c>
      <c r="H17" s="239" t="s">
        <v>2123</v>
      </c>
      <c r="I17" t="s">
        <v>2123</v>
      </c>
    </row>
    <row r="18" spans="1:9" ht="22.5" customHeight="1" x14ac:dyDescent="0.3">
      <c r="A18" s="240" t="s">
        <v>1406</v>
      </c>
      <c r="B18" s="240" t="str">
        <f>IF(EthniePerso="Indien","Apatride","")</f>
        <v/>
      </c>
      <c r="C18" s="58" t="s">
        <v>3757</v>
      </c>
      <c r="D18" s="58">
        <v>-3</v>
      </c>
      <c r="E18" s="65" t="s">
        <v>301</v>
      </c>
      <c r="F18" s="236" t="s">
        <v>1104</v>
      </c>
      <c r="G18" s="236" t="s">
        <v>1104</v>
      </c>
      <c r="H18" t="s">
        <v>1103</v>
      </c>
      <c r="I18" s="239" t="s">
        <v>3168</v>
      </c>
    </row>
    <row r="19" spans="1:9" ht="22.5" customHeight="1" x14ac:dyDescent="0.3">
      <c r="A19" s="240" t="s">
        <v>1527</v>
      </c>
      <c r="B19" s="240" t="str">
        <f>IF(Calc!U93=TRUE,"Aura de mort faible","")</f>
        <v/>
      </c>
      <c r="C19" s="58" t="s">
        <v>3758</v>
      </c>
      <c r="D19" s="58">
        <v>-1</v>
      </c>
      <c r="E19" s="65" t="s">
        <v>1160</v>
      </c>
      <c r="F19" s="236" t="s">
        <v>1518</v>
      </c>
      <c r="G19" s="237" t="s">
        <v>5102</v>
      </c>
      <c r="H19" t="s">
        <v>1102</v>
      </c>
      <c r="I19" s="239" t="s">
        <v>5091</v>
      </c>
    </row>
    <row r="20" spans="1:9" ht="22.5" customHeight="1" x14ac:dyDescent="0.3">
      <c r="A20" s="240" t="s">
        <v>1528</v>
      </c>
      <c r="B20" s="240" t="str">
        <f>IF(Calc!U93=TRUE,"Aura de mort moyenne","")</f>
        <v/>
      </c>
      <c r="C20" s="58" t="s">
        <v>3758</v>
      </c>
      <c r="D20" s="58">
        <v>-2</v>
      </c>
      <c r="E20" s="65" t="s">
        <v>1160</v>
      </c>
      <c r="F20" s="236" t="s">
        <v>1519</v>
      </c>
      <c r="G20" s="237" t="s">
        <v>5101</v>
      </c>
      <c r="H20" t="s">
        <v>1102</v>
      </c>
      <c r="I20" s="239" t="s">
        <v>5091</v>
      </c>
    </row>
    <row r="21" spans="1:9" ht="22.5" customHeight="1" x14ac:dyDescent="0.3">
      <c r="A21" s="240" t="s">
        <v>1529</v>
      </c>
      <c r="B21" s="240" t="str">
        <f>IF(Calc!U93=TRUE,"Aura de mort forte","")</f>
        <v/>
      </c>
      <c r="C21" s="58" t="s">
        <v>3757</v>
      </c>
      <c r="D21" s="58">
        <v>-3</v>
      </c>
      <c r="E21" s="65" t="s">
        <v>1160</v>
      </c>
      <c r="F21" s="236" t="s">
        <v>1520</v>
      </c>
      <c r="G21" s="237" t="s">
        <v>5103</v>
      </c>
      <c r="H21" t="s">
        <v>1102</v>
      </c>
      <c r="I21" s="239" t="s">
        <v>5091</v>
      </c>
    </row>
    <row r="22" spans="1:9" ht="22.5" customHeight="1" x14ac:dyDescent="0.3">
      <c r="A22" s="240" t="s">
        <v>1530</v>
      </c>
      <c r="B22" s="240" t="str">
        <f>IF(Calc!U93=TRUE,"Aura de mort extrême","")</f>
        <v/>
      </c>
      <c r="C22" s="58" t="s">
        <v>3757</v>
      </c>
      <c r="D22" s="58">
        <v>-4</v>
      </c>
      <c r="E22" s="65" t="s">
        <v>1160</v>
      </c>
      <c r="F22" s="236" t="s">
        <v>1521</v>
      </c>
      <c r="G22" s="237" t="s">
        <v>5104</v>
      </c>
      <c r="H22" t="s">
        <v>1102</v>
      </c>
      <c r="I22" s="239" t="s">
        <v>5091</v>
      </c>
    </row>
    <row r="23" spans="1:9" ht="22.5" customHeight="1" x14ac:dyDescent="0.3">
      <c r="A23" s="240" t="s">
        <v>1531</v>
      </c>
      <c r="B23" s="240" t="str">
        <f>IF(Calc!U93=TRUE,"Aura de mort ultime","")</f>
        <v/>
      </c>
      <c r="C23" s="58" t="s">
        <v>3757</v>
      </c>
      <c r="D23" s="58">
        <v>-5</v>
      </c>
      <c r="E23" s="65" t="s">
        <v>1160</v>
      </c>
      <c r="F23" s="236" t="s">
        <v>1522</v>
      </c>
      <c r="G23" s="237" t="s">
        <v>5105</v>
      </c>
      <c r="H23" t="s">
        <v>1102</v>
      </c>
      <c r="I23" s="239" t="s">
        <v>5091</v>
      </c>
    </row>
    <row r="24" spans="1:9" ht="22.5" customHeight="1" x14ac:dyDescent="0.3">
      <c r="A24" s="240" t="str">
        <f>IF(OR(SexePerso="Féminin",'Perso Reloaded'!$C$6="Féminin"),"Balourde","Balourd")</f>
        <v>Balourd</v>
      </c>
      <c r="B24" s="240" t="str">
        <f>IF(EthniePerso="Canadien",A24,"")</f>
        <v/>
      </c>
      <c r="C24" s="58" t="s">
        <v>3758</v>
      </c>
      <c r="D24" s="58">
        <v>-2</v>
      </c>
      <c r="E24" s="65" t="s">
        <v>302</v>
      </c>
      <c r="F24" s="237" t="s">
        <v>3584</v>
      </c>
      <c r="G24" s="237" t="s">
        <v>3585</v>
      </c>
      <c r="H24" t="s">
        <v>1017</v>
      </c>
      <c r="I24" s="239" t="s">
        <v>3168</v>
      </c>
    </row>
    <row r="25" spans="1:9" ht="22.5" customHeight="1" x14ac:dyDescent="0.3">
      <c r="A25" s="240" t="str">
        <f>IF(OR(SexePerso="Féminin",'Perso Reloaded'!$C$6="Féminin"),"Bannie","Banni")</f>
        <v>Banni</v>
      </c>
      <c r="B25" s="240" t="str">
        <f>IF(EthniePerso="Mestizo",A25,"")</f>
        <v/>
      </c>
      <c r="C25" s="58" t="s">
        <v>3758</v>
      </c>
      <c r="D25" s="58">
        <v>-2</v>
      </c>
      <c r="F25" s="237" t="s">
        <v>4447</v>
      </c>
      <c r="G25" s="237" t="s">
        <v>4447</v>
      </c>
      <c r="H25" s="239" t="s">
        <v>3168</v>
      </c>
      <c r="I25" s="239" t="s">
        <v>3168</v>
      </c>
    </row>
    <row r="26" spans="1:9" ht="22.5" customHeight="1" x14ac:dyDescent="0.3">
      <c r="A26" s="240" t="str">
        <f>IF(OR(SexePerso="Féminin",'Perso Reloaded'!$C$6="Féminin"),"Bigleuse (myope)","Bigleux (myope)")</f>
        <v>Bigleux (myope)</v>
      </c>
      <c r="B26" s="240" t="str">
        <f t="shared" ref="B26:B48" si="0">A26</f>
        <v>Bigleux (myope)</v>
      </c>
      <c r="C26" s="58" t="s">
        <v>3758</v>
      </c>
      <c r="D26" s="58">
        <v>-3</v>
      </c>
      <c r="F26" s="237" t="s">
        <v>1106</v>
      </c>
      <c r="G26" s="237" t="s">
        <v>3115</v>
      </c>
      <c r="H26" t="s">
        <v>1005</v>
      </c>
      <c r="I26" t="s">
        <v>3113</v>
      </c>
    </row>
    <row r="27" spans="1:9" ht="22.5" customHeight="1" x14ac:dyDescent="0.3">
      <c r="A27" s="240" t="str">
        <f>IF(OR(SexePerso="Féminin",'Perso Reloaded'!$C$6="Féminin"),"Bigleuse (borgne)","Bigleux (borgne)")</f>
        <v>Bigleux (borgne)</v>
      </c>
      <c r="B27" s="240" t="str">
        <f t="shared" si="0"/>
        <v>Bigleux (borgne)</v>
      </c>
      <c r="C27" s="58" t="s">
        <v>3757</v>
      </c>
      <c r="D27" s="58">
        <v>-4</v>
      </c>
      <c r="F27" s="237" t="s">
        <v>3085</v>
      </c>
      <c r="G27" s="237" t="s">
        <v>3086</v>
      </c>
      <c r="H27" t="s">
        <v>1005</v>
      </c>
      <c r="I27" t="s">
        <v>3072</v>
      </c>
    </row>
    <row r="28" spans="1:9" ht="22.5" customHeight="1" x14ac:dyDescent="0.3">
      <c r="A28" s="240" t="str">
        <f>IF(OR(SexePerso="Féminin",'Perso Reloaded'!$C$6="Féminin"),"Bigleuse (presque aveugle)","Bigleux (presque aveugle)")</f>
        <v>Bigleux (presque aveugle)</v>
      </c>
      <c r="B28" s="240" t="str">
        <f t="shared" si="0"/>
        <v>Bigleux (presque aveugle)</v>
      </c>
      <c r="C28" s="58" t="s">
        <v>3757</v>
      </c>
      <c r="D28" s="58">
        <v>-5</v>
      </c>
      <c r="F28" s="237" t="s">
        <v>1107</v>
      </c>
      <c r="G28" s="237" t="s">
        <v>3077</v>
      </c>
      <c r="H28" t="s">
        <v>1005</v>
      </c>
      <c r="I28" t="s">
        <v>3072</v>
      </c>
    </row>
    <row r="29" spans="1:9" ht="22.5" customHeight="1" x14ac:dyDescent="0.3">
      <c r="A29" s="240" t="str">
        <f>IF(OR(SexePerso="Féminin",'Perso Reloaded'!$C$6="Féminin"),"Boiteuse (claudiquement)","Boiteux (claudiquement)")</f>
        <v>Boiteux (claudiquement)</v>
      </c>
      <c r="B29" s="240" t="str">
        <f t="shared" si="0"/>
        <v>Boiteux (claudiquement)</v>
      </c>
      <c r="C29" s="58" t="s">
        <v>3758</v>
      </c>
      <c r="D29" s="58">
        <v>-3</v>
      </c>
      <c r="F29" s="236" t="s">
        <v>1532</v>
      </c>
      <c r="G29" s="236" t="s">
        <v>3084</v>
      </c>
      <c r="H29" t="s">
        <v>1005</v>
      </c>
      <c r="I29" t="s">
        <v>3072</v>
      </c>
    </row>
    <row r="30" spans="1:9" ht="22.5" customHeight="1" x14ac:dyDescent="0.3">
      <c r="A30" s="240" t="str">
        <f>IF(OR(SexePerso="Féminin",'Perso Reloaded'!$C$6="Féminin"),"Boiteuse (mutilation)/Unijambiste","Boiteux (mutilation)/Unijambiste")</f>
        <v>Boiteux (mutilation)/Unijambiste</v>
      </c>
      <c r="B30" s="240" t="str">
        <f t="shared" si="0"/>
        <v>Boiteux (mutilation)/Unijambiste</v>
      </c>
      <c r="C30" s="58" t="s">
        <v>3757</v>
      </c>
      <c r="D30" s="58">
        <v>-5</v>
      </c>
      <c r="F30" s="236" t="s">
        <v>1533</v>
      </c>
      <c r="G30" s="236" t="s">
        <v>3152</v>
      </c>
      <c r="H30" t="s">
        <v>1005</v>
      </c>
      <c r="I30" t="s">
        <v>3147</v>
      </c>
    </row>
    <row r="31" spans="1:9" ht="22.5" customHeight="1" x14ac:dyDescent="0.3">
      <c r="A31" s="240" t="str">
        <f>IF(OR(SexePerso="Féminin",'Perso Reloaded'!$C$6="Féminin"),"Ca va les chevilles?/Présomptueuse","Ca va les chevilles?/Présomptueux")</f>
        <v>Ca va les chevilles?/Présomptueux</v>
      </c>
      <c r="B31" s="240" t="str">
        <f t="shared" si="0"/>
        <v>Ca va les chevilles?/Présomptueux</v>
      </c>
      <c r="C31" s="58" t="s">
        <v>3757</v>
      </c>
      <c r="D31" s="58">
        <v>-3</v>
      </c>
      <c r="F31" s="236" t="s">
        <v>1108</v>
      </c>
      <c r="G31" s="236" t="s">
        <v>3125</v>
      </c>
      <c r="H31" t="s">
        <v>1005</v>
      </c>
      <c r="I31" t="s">
        <v>3126</v>
      </c>
    </row>
    <row r="32" spans="1:9" ht="22.5" customHeight="1" x14ac:dyDescent="0.3">
      <c r="A32" s="240" t="str">
        <f>IF(OR(SexePerso="Féminin",'Perso Reloaded'!$C$6="Féminin"),"Débauchée Lubrique","Chaud Lapin")</f>
        <v>Chaud Lapin</v>
      </c>
      <c r="B32" s="240" t="str">
        <f t="shared" si="0"/>
        <v>Chaud Lapin</v>
      </c>
      <c r="C32" s="58" t="s">
        <v>3757</v>
      </c>
      <c r="D32" s="58">
        <v>-3</v>
      </c>
      <c r="F32" s="236" t="s">
        <v>1109</v>
      </c>
      <c r="G32" s="236" t="s">
        <v>1109</v>
      </c>
      <c r="H32" t="s">
        <v>1090</v>
      </c>
      <c r="I32" s="239" t="s">
        <v>3168</v>
      </c>
    </row>
    <row r="33" spans="1:9" ht="22.5" customHeight="1" x14ac:dyDescent="0.3">
      <c r="A33" s="240" t="s">
        <v>3088</v>
      </c>
      <c r="B33" s="240" t="str">
        <f t="shared" si="0"/>
        <v>Chimères (mineures)</v>
      </c>
      <c r="C33" s="58" t="s">
        <v>3758</v>
      </c>
      <c r="D33" s="58">
        <v>-2</v>
      </c>
      <c r="F33" s="236" t="s">
        <v>3092</v>
      </c>
      <c r="G33" s="236" t="s">
        <v>3090</v>
      </c>
      <c r="H33" s="239" t="s">
        <v>3168</v>
      </c>
      <c r="I33" t="s">
        <v>3087</v>
      </c>
    </row>
    <row r="34" spans="1:9" ht="22.5" customHeight="1" x14ac:dyDescent="0.3">
      <c r="A34" s="240" t="s">
        <v>3089</v>
      </c>
      <c r="B34" s="240" t="str">
        <f t="shared" si="0"/>
        <v>Chimères (majeures)</v>
      </c>
      <c r="C34" s="58" t="s">
        <v>3757</v>
      </c>
      <c r="D34" s="58">
        <v>-3</v>
      </c>
      <c r="F34" s="236" t="s">
        <v>4949</v>
      </c>
      <c r="G34" s="236" t="s">
        <v>3091</v>
      </c>
      <c r="H34" s="239" t="s">
        <v>3168</v>
      </c>
      <c r="I34" t="s">
        <v>3087</v>
      </c>
    </row>
    <row r="35" spans="1:9" ht="22.5" customHeight="1" x14ac:dyDescent="0.3">
      <c r="A35" s="240" t="str">
        <f>IF(OR(SexePerso="Féminin",'Perso Reloaded'!$C$6="Féminin"),"Cinglée/ Phobie (légèrement)","Cinglé/ Phobie (légèrement)")</f>
        <v>Cinglé/ Phobie (légèrement)</v>
      </c>
      <c r="B35" s="240" t="str">
        <f t="shared" si="0"/>
        <v>Cinglé/ Phobie (légèrement)</v>
      </c>
      <c r="C35" s="58" t="s">
        <v>3758</v>
      </c>
      <c r="D35" s="58">
        <v>-1</v>
      </c>
      <c r="F35" s="236" t="s">
        <v>1110</v>
      </c>
      <c r="G35" s="237" t="s">
        <v>3135</v>
      </c>
      <c r="H35" t="s">
        <v>1005</v>
      </c>
      <c r="I35" t="s">
        <v>3113</v>
      </c>
    </row>
    <row r="36" spans="1:9" ht="22.5" customHeight="1" x14ac:dyDescent="0.3">
      <c r="A36" s="240" t="str">
        <f>IF(OR(SexePerso="Féminin",'Perso Reloaded'!$C$6="Féminin"),"Cinglée/ Phobie (moyennement)","Cinglé/ Phobie (moyennement)")</f>
        <v>Cinglé/ Phobie (moyennement)</v>
      </c>
      <c r="B36" s="240" t="str">
        <f t="shared" si="0"/>
        <v>Cinglé/ Phobie (moyennement)</v>
      </c>
      <c r="C36" s="58" t="s">
        <v>3758</v>
      </c>
      <c r="D36" s="58">
        <v>-2</v>
      </c>
      <c r="F36" s="236" t="s">
        <v>1111</v>
      </c>
      <c r="G36" s="237" t="s">
        <v>3121</v>
      </c>
      <c r="H36" t="s">
        <v>1005</v>
      </c>
      <c r="I36" t="s">
        <v>3113</v>
      </c>
    </row>
    <row r="37" spans="1:9" ht="22.5" customHeight="1" x14ac:dyDescent="0.3">
      <c r="A37" s="240" t="str">
        <f>IF(OR(SexePerso="Féminin",'Perso Reloaded'!$C$6="Féminin"),"Cinglée/ Phobie (fortement)","Cinglé/ Phobie (fortement)")</f>
        <v>Cinglé/ Phobie (fortement)</v>
      </c>
      <c r="B37" s="240" t="str">
        <f t="shared" si="0"/>
        <v>Cinglé/ Phobie (fortement)</v>
      </c>
      <c r="C37" s="58" t="s">
        <v>3757</v>
      </c>
      <c r="D37" s="58">
        <v>-3</v>
      </c>
      <c r="F37" s="236" t="s">
        <v>1112</v>
      </c>
      <c r="G37" s="237" t="s">
        <v>3136</v>
      </c>
      <c r="H37" t="s">
        <v>1005</v>
      </c>
      <c r="I37" t="s">
        <v>3113</v>
      </c>
    </row>
    <row r="38" spans="1:9" ht="22.5" customHeight="1" x14ac:dyDescent="0.3">
      <c r="A38" s="240" t="str">
        <f>IF(OR(SexePerso="Féminin",'Perso Reloaded'!$C$6="Féminin"),"Cinglée/ Phobie (complètement)","Cinglé/ Phobie (complètement)")</f>
        <v>Cinglé/ Phobie (complètement)</v>
      </c>
      <c r="B38" s="240" t="str">
        <f t="shared" si="0"/>
        <v>Cinglé/ Phobie (complètement)</v>
      </c>
      <c r="C38" s="58" t="s">
        <v>3757</v>
      </c>
      <c r="D38" s="58">
        <v>-4</v>
      </c>
      <c r="F38" s="236" t="s">
        <v>1113</v>
      </c>
      <c r="G38" s="237" t="s">
        <v>3122</v>
      </c>
      <c r="H38" t="s">
        <v>1005</v>
      </c>
      <c r="I38" t="s">
        <v>3113</v>
      </c>
    </row>
    <row r="39" spans="1:9" ht="22.5" customHeight="1" x14ac:dyDescent="0.3">
      <c r="A39" s="240" t="str">
        <f>IF(OR(SexePerso="Féminin",'Perso Reloaded'!$C$6="Féminin"),"Cinglée/ Phobie (irrémédiablement)","Cinglé/ Phobie (irrémédiablement)")</f>
        <v>Cinglé/ Phobie (irrémédiablement)</v>
      </c>
      <c r="B39" s="240" t="str">
        <f t="shared" si="0"/>
        <v>Cinglé/ Phobie (irrémédiablement)</v>
      </c>
      <c r="C39" s="58" t="s">
        <v>3757</v>
      </c>
      <c r="D39" s="58">
        <v>-5</v>
      </c>
      <c r="F39" s="236" t="s">
        <v>1114</v>
      </c>
      <c r="G39" s="237" t="s">
        <v>3137</v>
      </c>
      <c r="H39" t="s">
        <v>1005</v>
      </c>
      <c r="I39" t="s">
        <v>3113</v>
      </c>
    </row>
    <row r="40" spans="1:9" ht="22.5" customHeight="1" x14ac:dyDescent="0.3">
      <c r="A40" s="240" t="s">
        <v>216</v>
      </c>
      <c r="B40" s="240" t="str">
        <f t="shared" si="0"/>
        <v>Couinement</v>
      </c>
      <c r="C40" s="58" t="s">
        <v>3758</v>
      </c>
      <c r="D40" s="58">
        <v>-2</v>
      </c>
      <c r="F40" s="237" t="s">
        <v>1115</v>
      </c>
      <c r="G40" s="237" t="s">
        <v>3648</v>
      </c>
      <c r="H40" t="s">
        <v>1005</v>
      </c>
      <c r="I40" s="239" t="s">
        <v>3168</v>
      </c>
    </row>
    <row r="41" spans="1:9" ht="22.5" customHeight="1" x14ac:dyDescent="0.3">
      <c r="A41" s="240" t="s">
        <v>217</v>
      </c>
      <c r="B41" s="240" t="str">
        <f>A41</f>
        <v>Crise de Foi légère</v>
      </c>
      <c r="C41" s="58" t="s">
        <v>3758</v>
      </c>
      <c r="D41" s="58">
        <f>IF(croyant=TRUE,-3,-1)</f>
        <v>-1</v>
      </c>
      <c r="F41" s="237" t="s">
        <v>1116</v>
      </c>
      <c r="G41" s="237" t="s">
        <v>4950</v>
      </c>
      <c r="H41" t="s">
        <v>1014</v>
      </c>
      <c r="I41" s="239" t="s">
        <v>3168</v>
      </c>
    </row>
    <row r="42" spans="1:9" ht="22.5" customHeight="1" x14ac:dyDescent="0.3">
      <c r="A42" s="240" t="s">
        <v>218</v>
      </c>
      <c r="B42" s="240" t="str">
        <f t="shared" si="0"/>
        <v>Crise de Foi sévère</v>
      </c>
      <c r="C42" s="58" t="s">
        <v>3757</v>
      </c>
      <c r="D42" s="58">
        <f>IF(croyant=TRUE,-5,-3)</f>
        <v>-3</v>
      </c>
      <c r="F42" s="237" t="s">
        <v>1117</v>
      </c>
      <c r="G42" s="237" t="s">
        <v>4950</v>
      </c>
      <c r="H42" t="s">
        <v>1014</v>
      </c>
      <c r="I42" s="239" t="s">
        <v>3168</v>
      </c>
    </row>
    <row r="43" spans="1:9" ht="22.5" customHeight="1" x14ac:dyDescent="0.3">
      <c r="A43" s="240" t="str">
        <f>IF(OR(SexePerso="Féminin",'Perso Reloaded'!$C$6="Féminin"),"Croulante/Agée","Croulant/Agé")</f>
        <v>Croulant/Agé</v>
      </c>
      <c r="B43" s="240" t="str">
        <f t="shared" si="0"/>
        <v>Croulant/Agé</v>
      </c>
      <c r="C43" s="58" t="s">
        <v>3757</v>
      </c>
      <c r="D43" s="58">
        <v>-3</v>
      </c>
      <c r="F43" s="237" t="s">
        <v>4877</v>
      </c>
      <c r="G43" s="237" t="s">
        <v>4876</v>
      </c>
      <c r="H43" t="s">
        <v>1090</v>
      </c>
      <c r="I43" t="s">
        <v>3071</v>
      </c>
    </row>
    <row r="44" spans="1:9" ht="22.5" customHeight="1" x14ac:dyDescent="0.3">
      <c r="A44" s="240" t="str">
        <f>IF(OR(SexePerso="Féminin",'Perso Reloaded'!$C$6="Féminin"),"Croulante/Agée (fortement)","Croulant/Agé (fortement)")</f>
        <v>Croulant/Agé (fortement)</v>
      </c>
      <c r="B44" s="240" t="str">
        <f t="shared" si="0"/>
        <v>Croulant/Agé (fortement)</v>
      </c>
      <c r="C44" s="58" t="s">
        <v>3757</v>
      </c>
      <c r="D44" s="58">
        <v>-5</v>
      </c>
      <c r="F44" s="237" t="s">
        <v>4878</v>
      </c>
      <c r="G44" s="237" t="s">
        <v>4879</v>
      </c>
      <c r="H44" t="s">
        <v>1090</v>
      </c>
      <c r="I44" t="s">
        <v>3071</v>
      </c>
    </row>
    <row r="45" spans="1:9" ht="22.5" customHeight="1" x14ac:dyDescent="0.3">
      <c r="A45" s="240" t="s">
        <v>3095</v>
      </c>
      <c r="B45" s="240" t="str">
        <f t="shared" si="0"/>
        <v>Cupide (mineur)</v>
      </c>
      <c r="C45" s="58" t="s">
        <v>3758</v>
      </c>
      <c r="D45" s="58">
        <v>-2</v>
      </c>
      <c r="F45" s="236" t="s">
        <v>1534</v>
      </c>
      <c r="G45" s="236" t="s">
        <v>3097</v>
      </c>
      <c r="H45" t="s">
        <v>1090</v>
      </c>
      <c r="I45" t="s">
        <v>3087</v>
      </c>
    </row>
    <row r="46" spans="1:9" ht="22.5" customHeight="1" x14ac:dyDescent="0.3">
      <c r="A46" s="240" t="s">
        <v>3096</v>
      </c>
      <c r="B46" s="240" t="str">
        <f t="shared" si="0"/>
        <v>Cupide (majeur)</v>
      </c>
      <c r="C46" s="58" t="s">
        <v>3757</v>
      </c>
      <c r="D46" s="58">
        <v>-4</v>
      </c>
      <c r="F46" s="236" t="s">
        <v>3098</v>
      </c>
      <c r="G46" s="236" t="s">
        <v>4626</v>
      </c>
      <c r="H46" t="s">
        <v>1090</v>
      </c>
      <c r="I46" t="s">
        <v>3087</v>
      </c>
    </row>
    <row r="47" spans="1:9" ht="22.5" customHeight="1" x14ac:dyDescent="0.3">
      <c r="A47" s="240" t="str">
        <f>IF(OR(SexePerso="Féminin",'Perso Reloaded'!$C$6="Féminin"),"Curieuse","Curieux")</f>
        <v>Curieux</v>
      </c>
      <c r="B47" s="240" t="str">
        <f t="shared" si="0"/>
        <v>Curieux</v>
      </c>
      <c r="C47" s="58" t="s">
        <v>3757</v>
      </c>
      <c r="D47" s="58">
        <v>-3</v>
      </c>
      <c r="F47" s="236" t="s">
        <v>1118</v>
      </c>
      <c r="G47" s="236" t="s">
        <v>3099</v>
      </c>
      <c r="H47" t="s">
        <v>1005</v>
      </c>
      <c r="I47" t="s">
        <v>3087</v>
      </c>
    </row>
    <row r="48" spans="1:9" ht="22.5" customHeight="1" x14ac:dyDescent="0.3">
      <c r="A48" s="240" t="str">
        <f>IF(OR(SexePerso="Féminin",'Perso Reloaded'!$C$6="Féminin"),"Daltonienne/ Monochromate","Daltonien/ Monochromate")</f>
        <v>Daltonien/ Monochromate</v>
      </c>
      <c r="B48" s="240" t="str">
        <f t="shared" si="0"/>
        <v>Daltonien/ Monochromate</v>
      </c>
      <c r="C48" s="58" t="s">
        <v>3758</v>
      </c>
      <c r="D48" s="58">
        <v>-2</v>
      </c>
      <c r="F48" s="236" t="s">
        <v>4778</v>
      </c>
      <c r="G48" s="236" t="s">
        <v>4778</v>
      </c>
      <c r="H48" t="s">
        <v>4779</v>
      </c>
      <c r="I48" t="s">
        <v>4779</v>
      </c>
    </row>
    <row r="49" spans="1:9" ht="22.5" customHeight="1" x14ac:dyDescent="0.3">
      <c r="A49" s="240" t="str">
        <f>IF(OR(SexePerso="Féminin",'Perso Reloaded'!$C$6="Féminin"),"Damnée","Damné")</f>
        <v>Damné</v>
      </c>
      <c r="B49" s="240" t="str">
        <f>IF(croyant&lt;&gt;TRUE,A49,"")</f>
        <v>Damné</v>
      </c>
      <c r="C49" s="58" t="s">
        <v>3757</v>
      </c>
      <c r="D49" s="58">
        <v>-3</v>
      </c>
      <c r="E49" s="65" t="s">
        <v>5269</v>
      </c>
      <c r="F49" s="236" t="s">
        <v>3568</v>
      </c>
      <c r="G49" s="236" t="s">
        <v>3568</v>
      </c>
      <c r="H49" t="s">
        <v>1014</v>
      </c>
      <c r="I49" t="s">
        <v>4694</v>
      </c>
    </row>
    <row r="50" spans="1:9" ht="22.5" customHeight="1" x14ac:dyDescent="0.3">
      <c r="A50" s="240" t="str">
        <f>IF(OR(SexePerso="Féminin",'Perso Reloaded'!$C$6="Féminin"),"Damnée gravement","Damné gravement")</f>
        <v>Damné gravement</v>
      </c>
      <c r="B50" s="240" t="str">
        <f>IF(croyant&lt;&gt;TRUE,A50,"")</f>
        <v>Damné gravement</v>
      </c>
      <c r="C50" s="58" t="s">
        <v>3757</v>
      </c>
      <c r="D50" s="58">
        <v>-5</v>
      </c>
      <c r="E50" s="65" t="s">
        <v>5270</v>
      </c>
      <c r="F50" s="236" t="s">
        <v>1119</v>
      </c>
      <c r="G50" s="236" t="s">
        <v>4440</v>
      </c>
      <c r="H50" t="s">
        <v>1014</v>
      </c>
      <c r="I50" s="239" t="s">
        <v>3168</v>
      </c>
    </row>
    <row r="51" spans="1:9" ht="22.5" customHeight="1" x14ac:dyDescent="0.3">
      <c r="A51" s="240" t="s">
        <v>220</v>
      </c>
      <c r="B51" s="240" t="str">
        <f>A51</f>
        <v>Dèche</v>
      </c>
      <c r="C51" s="58" t="s">
        <v>3757</v>
      </c>
      <c r="D51" s="58">
        <v>-3</v>
      </c>
      <c r="F51" s="236" t="s">
        <v>1120</v>
      </c>
      <c r="G51" s="236" t="s">
        <v>1120</v>
      </c>
      <c r="H51" t="s">
        <v>1005</v>
      </c>
      <c r="I51" s="239" t="s">
        <v>3168</v>
      </c>
    </row>
    <row r="52" spans="1:9" ht="22.5" customHeight="1" x14ac:dyDescent="0.3">
      <c r="A52" s="240" t="str">
        <f>IF(OR(SexePerso="Féminin",'Perso Reloaded'!$C$6="Féminin"),"Dégénérescence (normale)","Dégénérescence (normal)")</f>
        <v>Dégénérescence (normal)</v>
      </c>
      <c r="B52" s="240" t="str">
        <f t="shared" ref="B52:B56" si="1">A52</f>
        <v>Dégénérescence (normal)</v>
      </c>
      <c r="C52" s="58" t="s">
        <v>3758</v>
      </c>
      <c r="D52" s="58">
        <v>0</v>
      </c>
      <c r="F52" s="236" t="s">
        <v>4951</v>
      </c>
      <c r="G52" s="236" t="s">
        <v>5109</v>
      </c>
      <c r="H52" t="s">
        <v>1102</v>
      </c>
      <c r="I52" s="239" t="s">
        <v>5108</v>
      </c>
    </row>
    <row r="53" spans="1:9" ht="22.5" customHeight="1" x14ac:dyDescent="0.3">
      <c r="A53" s="240" t="str">
        <f>IF(OR(SexePerso="Féminin",'Perso Reloaded'!$C$6="Féminin"),"Dégénérescence (palote)","Dégénérescence (palot)")</f>
        <v>Dégénérescence (palot)</v>
      </c>
      <c r="B53" s="240" t="str">
        <f t="shared" si="1"/>
        <v>Dégénérescence (palot)</v>
      </c>
      <c r="C53" s="58" t="s">
        <v>3758</v>
      </c>
      <c r="D53" s="58">
        <v>-1</v>
      </c>
      <c r="F53" s="236" t="s">
        <v>4952</v>
      </c>
      <c r="G53" s="236" t="s">
        <v>5107</v>
      </c>
      <c r="H53" t="s">
        <v>1102</v>
      </c>
      <c r="I53" s="239" t="s">
        <v>5108</v>
      </c>
    </row>
    <row r="54" spans="1:9" ht="22.5" customHeight="1" x14ac:dyDescent="0.3">
      <c r="A54" s="240" t="str">
        <f>IF(OR(SexePerso="Féminin",'Perso Reloaded'!$C$6="Féminin"),"Dégénérescence (gluante)","Dégénérescence (gluant)")</f>
        <v>Dégénérescence (gluant)</v>
      </c>
      <c r="B54" s="240" t="str">
        <f t="shared" si="1"/>
        <v>Dégénérescence (gluant)</v>
      </c>
      <c r="C54" s="58" t="s">
        <v>3758</v>
      </c>
      <c r="D54" s="58">
        <v>-2</v>
      </c>
      <c r="F54" s="236" t="s">
        <v>4953</v>
      </c>
      <c r="G54" s="236" t="s">
        <v>5106</v>
      </c>
      <c r="H54" t="s">
        <v>1102</v>
      </c>
      <c r="I54" s="239" t="s">
        <v>5108</v>
      </c>
    </row>
    <row r="55" spans="1:9" ht="22.5" customHeight="1" x14ac:dyDescent="0.3">
      <c r="A55" s="240" t="str">
        <f>IF(OR(SexePerso="Féminin",'Perso Reloaded'!$C$6="Féminin"),"Dégénérescence (boursouflée)","Dégénérescence (boursouflé)")</f>
        <v>Dégénérescence (boursouflé)</v>
      </c>
      <c r="B55" s="240" t="str">
        <f t="shared" si="1"/>
        <v>Dégénérescence (boursouflé)</v>
      </c>
      <c r="C55" s="58" t="s">
        <v>3757</v>
      </c>
      <c r="D55" s="58">
        <v>-3</v>
      </c>
      <c r="F55" s="236" t="s">
        <v>4954</v>
      </c>
      <c r="G55" s="236" t="s">
        <v>5110</v>
      </c>
      <c r="H55" t="s">
        <v>1102</v>
      </c>
      <c r="I55" s="239" t="s">
        <v>5108</v>
      </c>
    </row>
    <row r="56" spans="1:9" ht="22.5" customHeight="1" x14ac:dyDescent="0.3">
      <c r="A56" s="240" t="str">
        <f>IF(OR(SexePerso="Féminin",'Perso Reloaded'!$C$6="Féminin"),"Dégénérescence (pelée)","Dégénérescence (pelé)")</f>
        <v>Dégénérescence (pelé)</v>
      </c>
      <c r="B56" s="240" t="str">
        <f t="shared" si="1"/>
        <v>Dégénérescence (pelé)</v>
      </c>
      <c r="C56" s="58" t="s">
        <v>3757</v>
      </c>
      <c r="D56" s="58">
        <v>-4</v>
      </c>
      <c r="F56" s="236" t="s">
        <v>1535</v>
      </c>
      <c r="G56" s="236" t="s">
        <v>5112</v>
      </c>
      <c r="H56" t="s">
        <v>1102</v>
      </c>
      <c r="I56" s="239" t="s">
        <v>5108</v>
      </c>
    </row>
    <row r="57" spans="1:9" ht="22.5" customHeight="1" x14ac:dyDescent="0.3">
      <c r="A57" s="240" t="str">
        <f>IF(OR(SexePerso="Féminin",'Perso Reloaded'!$C$6="Féminin"),"Dégénérescence (déséchée)","Dégénérescence (déséché)")</f>
        <v>Dégénérescence (déséché)</v>
      </c>
      <c r="B57" s="240" t="str">
        <f>A57</f>
        <v>Dégénérescence (déséché)</v>
      </c>
      <c r="C57" s="58" t="s">
        <v>3757</v>
      </c>
      <c r="D57" s="58">
        <v>-5</v>
      </c>
      <c r="F57" s="237" t="s">
        <v>1536</v>
      </c>
      <c r="G57" s="236" t="s">
        <v>5111</v>
      </c>
      <c r="H57" t="s">
        <v>1102</v>
      </c>
      <c r="I57" s="239" t="s">
        <v>3168</v>
      </c>
    </row>
    <row r="58" spans="1:9" ht="22.5" customHeight="1" x14ac:dyDescent="0.3">
      <c r="A58" s="240" t="str">
        <f>IF(OR(SexePerso="Féminin",'Perso Reloaded'!$C$6="Féminin"),"Déloyale","Déloyal")</f>
        <v>Déloyal</v>
      </c>
      <c r="B58" s="240" t="str">
        <f>IF(EthniePerso="Indien",A58,"")</f>
        <v/>
      </c>
      <c r="C58" s="58" t="s">
        <v>3757</v>
      </c>
      <c r="D58" s="58">
        <v>-3</v>
      </c>
      <c r="E58" s="65" t="s">
        <v>301</v>
      </c>
      <c r="F58" s="237" t="s">
        <v>4955</v>
      </c>
      <c r="G58" s="237" t="s">
        <v>4571</v>
      </c>
      <c r="H58" t="s">
        <v>1103</v>
      </c>
      <c r="I58" s="239" t="s">
        <v>3168</v>
      </c>
    </row>
    <row r="59" spans="1:9" ht="22.2" customHeight="1" x14ac:dyDescent="0.3">
      <c r="A59" s="240" t="s">
        <v>3649</v>
      </c>
      <c r="B59" s="240" t="str">
        <f>A59</f>
        <v>Désir de mort/Suicidaire</v>
      </c>
      <c r="C59" s="58" t="s">
        <v>3757</v>
      </c>
      <c r="D59" s="58">
        <v>-5</v>
      </c>
      <c r="F59" s="236" t="s">
        <v>1121</v>
      </c>
      <c r="G59" s="236" t="s">
        <v>3143</v>
      </c>
      <c r="H59" t="s">
        <v>1090</v>
      </c>
      <c r="I59" s="239" t="s">
        <v>3168</v>
      </c>
    </row>
    <row r="60" spans="1:9" ht="22.2" customHeight="1" x14ac:dyDescent="0.3">
      <c r="A60" t="s">
        <v>4980</v>
      </c>
      <c r="B60" s="240" t="str">
        <f t="shared" ref="B60:B61" si="2">A60</f>
        <v>Dette d'argent</v>
      </c>
      <c r="C60" s="58" t="s">
        <v>3758</v>
      </c>
      <c r="D60" s="58">
        <v>-2</v>
      </c>
      <c r="F60" s="236" t="s">
        <v>4976</v>
      </c>
      <c r="G60" s="236" t="s">
        <v>4977</v>
      </c>
      <c r="H60" s="239" t="s">
        <v>3168</v>
      </c>
      <c r="I60" s="239" t="s">
        <v>3168</v>
      </c>
    </row>
    <row r="61" spans="1:9" ht="22.2" customHeight="1" x14ac:dyDescent="0.3">
      <c r="A61" t="s">
        <v>4981</v>
      </c>
      <c r="B61" s="240" t="str">
        <f t="shared" si="2"/>
        <v>Dette d'argent (Grande)</v>
      </c>
      <c r="C61" s="58" t="s">
        <v>3757</v>
      </c>
      <c r="D61" s="58">
        <v>-4</v>
      </c>
      <c r="F61" s="236" t="s">
        <v>4978</v>
      </c>
      <c r="G61" s="236" t="s">
        <v>4979</v>
      </c>
      <c r="H61" s="239" t="s">
        <v>3168</v>
      </c>
      <c r="I61" s="239" t="s">
        <v>3168</v>
      </c>
    </row>
    <row r="62" spans="1:9" ht="22.5" customHeight="1" x14ac:dyDescent="0.3">
      <c r="A62" s="240" t="s">
        <v>4870</v>
      </c>
      <c r="B62" s="240" t="str">
        <f t="shared" ref="B62:B81" si="3">A62</f>
        <v>Deux mains gauches/ Maladresse</v>
      </c>
      <c r="C62" s="58" t="s">
        <v>3758</v>
      </c>
      <c r="D62" s="58">
        <v>-2</v>
      </c>
      <c r="F62" s="236" t="s">
        <v>1537</v>
      </c>
      <c r="G62" s="237" t="s">
        <v>3840</v>
      </c>
      <c r="H62" t="s">
        <v>1005</v>
      </c>
      <c r="I62" t="s">
        <v>3087</v>
      </c>
    </row>
    <row r="63" spans="1:9" ht="22.5" customHeight="1" x14ac:dyDescent="0.3">
      <c r="A63" s="240" t="str">
        <f>IF(OR(SexePerso="Féminin",'Perso Reloaded'!$C$6="Féminin"),"Discrète comme pas un (faiblement)","Discret comme pas un (faiblement)")</f>
        <v>Discret comme pas un (faiblement)</v>
      </c>
      <c r="B63" s="240" t="str">
        <f t="shared" si="3"/>
        <v>Discret comme pas un (faiblement)</v>
      </c>
      <c r="C63" s="58" t="s">
        <v>3758</v>
      </c>
      <c r="D63" s="58">
        <v>-1</v>
      </c>
      <c r="E63" s="65" t="str">
        <f>IF(OR(occulte=TRUE,croyant=TRUE),A63,"")</f>
        <v/>
      </c>
      <c r="F63" s="236" t="s">
        <v>1126</v>
      </c>
      <c r="G63" s="236" t="s">
        <v>4871</v>
      </c>
      <c r="H63" t="s">
        <v>1077</v>
      </c>
      <c r="I63" s="239" t="s">
        <v>3168</v>
      </c>
    </row>
    <row r="64" spans="1:9" ht="22.5" customHeight="1" x14ac:dyDescent="0.3">
      <c r="A64" s="240" t="str">
        <f>IF(OR(SexePerso="Féminin",'Perso Reloaded'!$C$6="Féminin"),"Discrète comme pas un (moyennement)","Discret comme pas un (moyennement)")</f>
        <v>Discret comme pas un (moyennement)</v>
      </c>
      <c r="B64" s="240" t="str">
        <f t="shared" si="3"/>
        <v>Discret comme pas un (moyennement)</v>
      </c>
      <c r="C64" s="58" t="s">
        <v>3758</v>
      </c>
      <c r="D64" s="58">
        <v>-2</v>
      </c>
      <c r="E64" s="65" t="str">
        <f>IF(OR(occulte=TRUE,croyant=TRUE),A64,"")</f>
        <v/>
      </c>
      <c r="F64" s="236" t="s">
        <v>1122</v>
      </c>
      <c r="G64" s="236" t="s">
        <v>4872</v>
      </c>
      <c r="H64" t="s">
        <v>1077</v>
      </c>
      <c r="I64" s="239" t="s">
        <v>3168</v>
      </c>
    </row>
    <row r="65" spans="1:9" ht="22.5" customHeight="1" x14ac:dyDescent="0.3">
      <c r="A65" s="240" t="str">
        <f>IF(OR(SexePerso="Féminin",'Perso Reloaded'!$C$6="Féminin"),"Discrète comme pas un (fortemment)","Discret comme pas un (fortemment)")</f>
        <v>Discret comme pas un (fortemment)</v>
      </c>
      <c r="B65" s="240" t="str">
        <f t="shared" si="3"/>
        <v>Discret comme pas un (fortemment)</v>
      </c>
      <c r="C65" s="58" t="s">
        <v>3757</v>
      </c>
      <c r="D65" s="58">
        <v>-3</v>
      </c>
      <c r="E65" s="65" t="str">
        <f>IF(OR(occulte=TRUE,croyant=TRUE),A65,"")</f>
        <v/>
      </c>
      <c r="F65" s="236" t="s">
        <v>1123</v>
      </c>
      <c r="G65" s="236" t="s">
        <v>4873</v>
      </c>
      <c r="H65" t="s">
        <v>1077</v>
      </c>
      <c r="I65" s="239" t="s">
        <v>3168</v>
      </c>
    </row>
    <row r="66" spans="1:9" ht="22.5" customHeight="1" x14ac:dyDescent="0.3">
      <c r="A66" s="240" t="str">
        <f>IF(OR(SexePerso="Féminin",'Perso Reloaded'!$C$6="Féminin"),"Discrète comme pas un (immanquable)","Discret comme pas un (immanquable)")</f>
        <v>Discret comme pas un (immanquable)</v>
      </c>
      <c r="B66" s="240" t="str">
        <f t="shared" si="3"/>
        <v>Discret comme pas un (immanquable)</v>
      </c>
      <c r="C66" s="58" t="s">
        <v>3757</v>
      </c>
      <c r="D66" s="58">
        <v>-4</v>
      </c>
      <c r="E66" s="65" t="str">
        <f>IF(OR(occulte=TRUE,croyant=TRUE),A66,"")</f>
        <v/>
      </c>
      <c r="F66" s="236" t="s">
        <v>1124</v>
      </c>
      <c r="G66" s="236" t="s">
        <v>4874</v>
      </c>
      <c r="H66" t="s">
        <v>1077</v>
      </c>
      <c r="I66" s="239" t="s">
        <v>3168</v>
      </c>
    </row>
    <row r="67" spans="1:9" ht="22.5" customHeight="1" x14ac:dyDescent="0.3">
      <c r="A67" s="240" t="str">
        <f>IF(OR(SexePerso="Féminin",'Perso Reloaded'!$C$6="Féminin"),"Discrète comme pas un (spectaculaire)","Discret comme pas un (spectaculaire)")</f>
        <v>Discret comme pas un (spectaculaire)</v>
      </c>
      <c r="B67" s="240" t="str">
        <f t="shared" si="3"/>
        <v>Discret comme pas un (spectaculaire)</v>
      </c>
      <c r="C67" s="58" t="s">
        <v>3757</v>
      </c>
      <c r="D67" s="58">
        <v>-5</v>
      </c>
      <c r="E67" s="65" t="str">
        <f>IF(OR(occulte=TRUE,croyant=TRUE),A67,"")</f>
        <v/>
      </c>
      <c r="F67" s="236" t="s">
        <v>1125</v>
      </c>
      <c r="G67" s="236" t="s">
        <v>4875</v>
      </c>
      <c r="H67" t="s">
        <v>1077</v>
      </c>
      <c r="I67" s="239" t="s">
        <v>3168</v>
      </c>
    </row>
    <row r="68" spans="1:9" ht="22.5" customHeight="1" x14ac:dyDescent="0.3">
      <c r="A68" s="240" t="str">
        <f>IF(OR(SexePerso="Féminin",'Perso Reloaded'!$C$6="Féminin"),"Douillète/ Petite Nature","Douillet/ Petite Nature")</f>
        <v>Douillet/ Petite Nature</v>
      </c>
      <c r="B68" s="240" t="str">
        <f t="shared" si="3"/>
        <v>Douillet/ Petite Nature</v>
      </c>
      <c r="C68" s="58" t="s">
        <v>3757</v>
      </c>
      <c r="D68" s="58">
        <v>-3</v>
      </c>
      <c r="F68" s="236" t="s">
        <v>1539</v>
      </c>
      <c r="G68" s="236" t="s">
        <v>3120</v>
      </c>
      <c r="H68" t="s">
        <v>1005</v>
      </c>
      <c r="I68" t="s">
        <v>3113</v>
      </c>
    </row>
    <row r="69" spans="1:9" ht="22.5" customHeight="1" x14ac:dyDescent="0.3">
      <c r="A69" s="240" t="str">
        <f>IF(OR(SexePerso="Féminin",'Perso Reloaded'!$C$6="Féminin"),"Ecole de Tocards/ Arrogante","Ecole de Tocards/ Arrogant")</f>
        <v>Ecole de Tocards/ Arrogant</v>
      </c>
      <c r="B69" s="240" t="str">
        <f t="shared" si="3"/>
        <v>Ecole de Tocards/ Arrogant</v>
      </c>
      <c r="C69" s="58" t="s">
        <v>3757</v>
      </c>
      <c r="D69" s="58">
        <v>-2</v>
      </c>
      <c r="F69" s="236" t="s">
        <v>1127</v>
      </c>
      <c r="G69" s="236" t="s">
        <v>3076</v>
      </c>
      <c r="H69" t="s">
        <v>1006</v>
      </c>
      <c r="I69" t="s">
        <v>3071</v>
      </c>
    </row>
    <row r="70" spans="1:9" ht="22.5" customHeight="1" x14ac:dyDescent="0.3">
      <c r="A70" s="240" t="s">
        <v>226</v>
      </c>
      <c r="B70" s="240" t="str">
        <f t="shared" si="3"/>
        <v>Ennemi (très rare ou très faible)</v>
      </c>
      <c r="C70" s="58" t="s">
        <v>3758</v>
      </c>
      <c r="D70" s="58">
        <v>-1</v>
      </c>
      <c r="F70" s="236" t="s">
        <v>1128</v>
      </c>
      <c r="G70" s="236" t="s">
        <v>3102</v>
      </c>
      <c r="H70" t="s">
        <v>1005</v>
      </c>
      <c r="I70" t="s">
        <v>3087</v>
      </c>
    </row>
    <row r="71" spans="1:9" ht="22.5" customHeight="1" x14ac:dyDescent="0.3">
      <c r="A71" s="240" t="s">
        <v>228</v>
      </c>
      <c r="B71" s="240" t="str">
        <f t="shared" si="3"/>
        <v>Ennemi (rare ou faible)</v>
      </c>
      <c r="C71" s="58" t="s">
        <v>3758</v>
      </c>
      <c r="D71" s="58">
        <v>-2</v>
      </c>
      <c r="F71" s="236" t="s">
        <v>1129</v>
      </c>
      <c r="G71" s="236" t="s">
        <v>3102</v>
      </c>
      <c r="H71" t="s">
        <v>1005</v>
      </c>
      <c r="I71" t="s">
        <v>3087</v>
      </c>
    </row>
    <row r="72" spans="1:9" ht="22.5" customHeight="1" x14ac:dyDescent="0.3">
      <c r="A72" s="240" t="s">
        <v>229</v>
      </c>
      <c r="B72" s="240" t="str">
        <f t="shared" si="3"/>
        <v>Ennemi (moyen)</v>
      </c>
      <c r="C72" s="58" t="s">
        <v>3758</v>
      </c>
      <c r="D72" s="58">
        <v>-3</v>
      </c>
      <c r="F72" s="236" t="s">
        <v>1130</v>
      </c>
      <c r="G72" s="236" t="s">
        <v>3103</v>
      </c>
      <c r="H72" t="s">
        <v>1005</v>
      </c>
      <c r="I72" t="s">
        <v>3087</v>
      </c>
    </row>
    <row r="73" spans="1:9" ht="22.5" customHeight="1" x14ac:dyDescent="0.3">
      <c r="A73" s="240" t="s">
        <v>230</v>
      </c>
      <c r="B73" s="240" t="str">
        <f t="shared" si="3"/>
        <v>Ennemi (courant ou fort)</v>
      </c>
      <c r="C73" s="58" t="s">
        <v>3757</v>
      </c>
      <c r="D73" s="58">
        <v>-4</v>
      </c>
      <c r="F73" s="236" t="s">
        <v>1131</v>
      </c>
      <c r="G73" s="236" t="s">
        <v>3103</v>
      </c>
      <c r="H73" t="s">
        <v>1005</v>
      </c>
      <c r="I73" t="s">
        <v>3087</v>
      </c>
    </row>
    <row r="74" spans="1:9" ht="22.5" customHeight="1" x14ac:dyDescent="0.3">
      <c r="A74" s="240" t="s">
        <v>227</v>
      </c>
      <c r="B74" s="240" t="str">
        <f t="shared" si="3"/>
        <v>Ennemi (très courant ou très fort)</v>
      </c>
      <c r="C74" s="58" t="s">
        <v>3757</v>
      </c>
      <c r="D74" s="58">
        <v>-5</v>
      </c>
      <c r="F74" s="236" t="s">
        <v>4956</v>
      </c>
      <c r="G74" s="236" t="s">
        <v>3103</v>
      </c>
      <c r="H74" t="s">
        <v>1005</v>
      </c>
      <c r="I74" t="s">
        <v>3087</v>
      </c>
    </row>
    <row r="75" spans="1:9" ht="22.5" customHeight="1" x14ac:dyDescent="0.3">
      <c r="A75" s="240" t="str">
        <f>IF(OR(SexePerso="Féminin",'Perso Reloaded'!$C$6="Féminin"),"Expatriée/Etrangère","Expatrié/Etranger")</f>
        <v>Expatrié/Etranger</v>
      </c>
      <c r="B75" s="240" t="str">
        <f t="shared" si="3"/>
        <v>Expatrié/Etranger</v>
      </c>
      <c r="C75" s="58" t="s">
        <v>3758</v>
      </c>
      <c r="D75" s="58">
        <v>-3</v>
      </c>
      <c r="F75" s="236" t="s">
        <v>1132</v>
      </c>
      <c r="G75" s="236" t="s">
        <v>3104</v>
      </c>
      <c r="H75" t="s">
        <v>1005</v>
      </c>
      <c r="I75" t="s">
        <v>3087</v>
      </c>
    </row>
    <row r="76" spans="1:9" ht="22.5" customHeight="1" x14ac:dyDescent="0.3">
      <c r="A76" s="240" t="s">
        <v>231</v>
      </c>
      <c r="B76" s="240" t="str">
        <f t="shared" si="3"/>
        <v>Fanatique</v>
      </c>
      <c r="C76" s="58" t="s">
        <v>3757</v>
      </c>
      <c r="D76" s="58">
        <v>-3</v>
      </c>
      <c r="F76" s="236" t="s">
        <v>1133</v>
      </c>
      <c r="G76" s="236" t="s">
        <v>1133</v>
      </c>
      <c r="H76" t="s">
        <v>1005</v>
      </c>
      <c r="I76" s="239" t="s">
        <v>3168</v>
      </c>
    </row>
    <row r="77" spans="1:9" ht="22.5" customHeight="1" x14ac:dyDescent="0.3">
      <c r="A77" s="240" t="str">
        <f>IF(OR(SexePerso="Féminin",'Perso Reloaded'!$C$6="Féminin"),"Fatiguée (faiblement)","Fatigué (faiblement)")</f>
        <v>Fatigué (faiblement)</v>
      </c>
      <c r="B77" s="240" t="str">
        <f t="shared" si="3"/>
        <v>Fatigué (faiblement)</v>
      </c>
      <c r="C77" s="58" t="s">
        <v>3758</v>
      </c>
      <c r="D77" s="58">
        <v>-1</v>
      </c>
      <c r="F77" s="236" t="s">
        <v>1134</v>
      </c>
      <c r="G77" s="236" t="s">
        <v>4957</v>
      </c>
      <c r="H77" t="s">
        <v>1090</v>
      </c>
      <c r="I77" s="239" t="s">
        <v>3168</v>
      </c>
    </row>
    <row r="78" spans="1:9" ht="22.5" customHeight="1" x14ac:dyDescent="0.3">
      <c r="A78" s="240" t="str">
        <f>IF(OR(SexePerso="Féminin",'Perso Reloaded'!$C$6="Féminin"),"Fatiguée (moyennement)","Fatigué (moyennement)")</f>
        <v>Fatigué (moyennement)</v>
      </c>
      <c r="B78" s="240" t="str">
        <f t="shared" si="3"/>
        <v>Fatigué (moyennement)</v>
      </c>
      <c r="C78" s="58" t="s">
        <v>3758</v>
      </c>
      <c r="D78" s="58">
        <v>-2</v>
      </c>
      <c r="F78" s="236" t="s">
        <v>1135</v>
      </c>
      <c r="G78" s="236" t="s">
        <v>4958</v>
      </c>
      <c r="H78" t="s">
        <v>1090</v>
      </c>
      <c r="I78" s="239" t="s">
        <v>3168</v>
      </c>
    </row>
    <row r="79" spans="1:9" ht="22.5" customHeight="1" x14ac:dyDescent="0.3">
      <c r="A79" s="240" t="str">
        <f>IF(OR(SexePerso="Féminin",'Perso Reloaded'!$C$6="Féminin"),"Fatiguée (fortemment)","Fatigué (fortemment)")</f>
        <v>Fatigué (fortemment)</v>
      </c>
      <c r="B79" s="240" t="str">
        <f t="shared" si="3"/>
        <v>Fatigué (fortemment)</v>
      </c>
      <c r="C79" s="58" t="s">
        <v>3757</v>
      </c>
      <c r="D79" s="58">
        <v>-3</v>
      </c>
      <c r="F79" s="236" t="s">
        <v>1136</v>
      </c>
      <c r="G79" s="236" t="s">
        <v>4959</v>
      </c>
      <c r="H79" t="s">
        <v>1090</v>
      </c>
      <c r="I79" s="239" t="s">
        <v>3168</v>
      </c>
    </row>
    <row r="80" spans="1:9" ht="22.5" customHeight="1" x14ac:dyDescent="0.3">
      <c r="A80" s="240" t="str">
        <f>IF(OR(SexePerso="Féminin",'Perso Reloaded'!$C$6="Féminin"),"Fatiguée (extrêmement)","Fatigué (extrêmement)")</f>
        <v>Fatigué (extrêmement)</v>
      </c>
      <c r="B80" s="240" t="str">
        <f t="shared" si="3"/>
        <v>Fatigué (extrêmement)</v>
      </c>
      <c r="C80" s="58" t="s">
        <v>3757</v>
      </c>
      <c r="D80" s="58">
        <v>-4</v>
      </c>
      <c r="F80" s="236" t="s">
        <v>1137</v>
      </c>
      <c r="G80" s="236" t="s">
        <v>4960</v>
      </c>
      <c r="H80" t="s">
        <v>1090</v>
      </c>
      <c r="I80" s="239" t="s">
        <v>3168</v>
      </c>
    </row>
    <row r="81" spans="1:9" ht="22.5" customHeight="1" x14ac:dyDescent="0.3">
      <c r="A81" s="240" t="str">
        <f>IF(OR(SexePerso="Féminin",'Perso Reloaded'!$C$6="Féminin"),"Fatiguée (plus qu'extrêmement)","Fatigué (plus qu'extrêmement)")</f>
        <v>Fatigué (plus qu'extrêmement)</v>
      </c>
      <c r="B81" s="240" t="str">
        <f t="shared" si="3"/>
        <v>Fatigué (plus qu'extrêmement)</v>
      </c>
      <c r="C81" s="58" t="s">
        <v>3757</v>
      </c>
      <c r="D81" s="58">
        <v>-5</v>
      </c>
      <c r="F81" s="236" t="s">
        <v>1138</v>
      </c>
      <c r="G81" s="236" t="s">
        <v>4961</v>
      </c>
      <c r="H81" t="s">
        <v>1090</v>
      </c>
      <c r="I81" s="239" t="s">
        <v>3168</v>
      </c>
    </row>
    <row r="82" spans="1:9" ht="22.5" customHeight="1" x14ac:dyDescent="0.3">
      <c r="A82" s="240" t="s">
        <v>1408</v>
      </c>
      <c r="B82" s="240" t="str">
        <f>A82</f>
        <v>Fine Bouche</v>
      </c>
      <c r="C82" s="58" t="s">
        <v>3758</v>
      </c>
      <c r="D82" s="58">
        <v>-3</v>
      </c>
      <c r="F82" s="236" t="s">
        <v>3594</v>
      </c>
      <c r="G82" s="236" t="s">
        <v>4516</v>
      </c>
      <c r="H82" t="s">
        <v>1017</v>
      </c>
      <c r="I82" s="239" t="s">
        <v>3168</v>
      </c>
    </row>
    <row r="83" spans="1:9" ht="22.5" customHeight="1" x14ac:dyDescent="0.3">
      <c r="A83" s="240" t="s">
        <v>5070</v>
      </c>
      <c r="B83" s="240" t="str">
        <f>IF(occulte=TRUE,"Focalisation/Fétiche (faible)","")</f>
        <v/>
      </c>
      <c r="C83" s="58" t="s">
        <v>3758</v>
      </c>
      <c r="D83" s="58">
        <v>-1</v>
      </c>
      <c r="E83" s="65" t="s">
        <v>1720</v>
      </c>
      <c r="F83" s="237" t="s">
        <v>4962</v>
      </c>
      <c r="G83" s="237" t="s">
        <v>5074</v>
      </c>
      <c r="H83" t="s">
        <v>1077</v>
      </c>
      <c r="I83" s="239" t="s">
        <v>5073</v>
      </c>
    </row>
    <row r="84" spans="1:9" ht="22.5" customHeight="1" x14ac:dyDescent="0.3">
      <c r="A84" s="240" t="s">
        <v>5071</v>
      </c>
      <c r="B84" s="240" t="str">
        <f>IF(occulte=TRUE,"Focalisation/Fétiche (moyen)","")</f>
        <v/>
      </c>
      <c r="C84" s="58" t="s">
        <v>3758</v>
      </c>
      <c r="D84" s="58">
        <v>-2</v>
      </c>
      <c r="E84" s="65" t="s">
        <v>1720</v>
      </c>
      <c r="F84" s="237" t="s">
        <v>3605</v>
      </c>
      <c r="G84" s="237" t="s">
        <v>5075</v>
      </c>
      <c r="H84" t="s">
        <v>1077</v>
      </c>
      <c r="I84" s="239" t="s">
        <v>5073</v>
      </c>
    </row>
    <row r="85" spans="1:9" ht="22.5" customHeight="1" x14ac:dyDescent="0.3">
      <c r="A85" s="240" t="s">
        <v>5072</v>
      </c>
      <c r="B85" s="240" t="str">
        <f>IF(occulte=TRUE,"Focalisation/Fétiche (fort)","")</f>
        <v/>
      </c>
      <c r="C85" s="58" t="s">
        <v>3757</v>
      </c>
      <c r="D85" s="58">
        <v>-3</v>
      </c>
      <c r="E85" s="65" t="s">
        <v>1720</v>
      </c>
      <c r="F85" s="237" t="s">
        <v>3606</v>
      </c>
      <c r="G85" s="237" t="s">
        <v>5076</v>
      </c>
      <c r="H85" t="s">
        <v>1077</v>
      </c>
      <c r="I85" s="239" t="s">
        <v>5073</v>
      </c>
    </row>
    <row r="86" spans="1:9" ht="24.6" customHeight="1" x14ac:dyDescent="0.3">
      <c r="A86" s="240" t="s">
        <v>4326</v>
      </c>
      <c r="B86" s="240" t="str">
        <f>A86</f>
        <v>Force maléfique</v>
      </c>
      <c r="C86" s="58" t="s">
        <v>3758</v>
      </c>
      <c r="D86" s="58">
        <v>-2</v>
      </c>
      <c r="F86" s="237" t="s">
        <v>4963</v>
      </c>
      <c r="G86" s="237" t="s">
        <v>4963</v>
      </c>
      <c r="H86" t="s">
        <v>2123</v>
      </c>
      <c r="I86" s="239" t="s">
        <v>2123</v>
      </c>
    </row>
    <row r="87" spans="1:9" ht="22.5" customHeight="1" x14ac:dyDescent="0.3">
      <c r="A87" s="240" t="str">
        <f>IF(OR(SexePerso="Féminin",'Perso Reloaded'!$C$6="Féminin"),"Grande Gueule/Bavarde","Grande Gueule/Bavard")</f>
        <v>Grande Gueule/Bavard</v>
      </c>
      <c r="B87" s="240" t="str">
        <f>A87</f>
        <v>Grande Gueule/Bavard</v>
      </c>
      <c r="C87" s="58" t="s">
        <v>3758</v>
      </c>
      <c r="D87" s="58">
        <v>-3</v>
      </c>
      <c r="F87" s="236" t="s">
        <v>1139</v>
      </c>
      <c r="G87" s="236" t="s">
        <v>3078</v>
      </c>
      <c r="H87" t="s">
        <v>1090</v>
      </c>
      <c r="I87" t="s">
        <v>3072</v>
      </c>
    </row>
    <row r="88" spans="1:9" ht="22.5" customHeight="1" x14ac:dyDescent="0.3">
      <c r="A88" s="240" t="s">
        <v>3650</v>
      </c>
      <c r="B88" s="240" t="str">
        <f t="shared" ref="B88:B111" si="4">A88</f>
        <v>Gros Dodo/Sommeil Lourd</v>
      </c>
      <c r="C88" s="58" t="s">
        <v>3758</v>
      </c>
      <c r="D88" s="58">
        <v>-1</v>
      </c>
      <c r="F88" s="237" t="s">
        <v>1574</v>
      </c>
      <c r="G88" s="237" t="s">
        <v>3148</v>
      </c>
      <c r="H88" t="s">
        <v>1005</v>
      </c>
      <c r="I88" t="s">
        <v>3147</v>
      </c>
    </row>
    <row r="89" spans="1:9" ht="22.5" customHeight="1" x14ac:dyDescent="0.3">
      <c r="A89" s="240" t="str">
        <f>IF(OR(SexePerso="Féminin",'Perso Reloaded'!$C$6="Féminin"),"Gros Tas (Costaude)","Gros Tas (Costaud)")</f>
        <v>Gros Tas (Costaud)</v>
      </c>
      <c r="B89" s="240" t="str">
        <f t="shared" si="4"/>
        <v>Gros Tas (Costaud)</v>
      </c>
      <c r="C89" s="58" t="s">
        <v>3758</v>
      </c>
      <c r="D89" s="58">
        <v>-1</v>
      </c>
      <c r="F89" s="237" t="s">
        <v>1140</v>
      </c>
      <c r="G89" s="237" t="s">
        <v>3117</v>
      </c>
      <c r="H89" t="s">
        <v>1005</v>
      </c>
      <c r="I89" t="s">
        <v>3113</v>
      </c>
    </row>
    <row r="90" spans="1:9" ht="22.5" customHeight="1" x14ac:dyDescent="0.3">
      <c r="A90" s="240" t="s">
        <v>235</v>
      </c>
      <c r="B90" s="240" t="str">
        <f t="shared" si="4"/>
        <v>Gros Tas (Obèse)</v>
      </c>
      <c r="C90" s="58" t="s">
        <v>3758</v>
      </c>
      <c r="D90" s="58">
        <v>-2</v>
      </c>
      <c r="F90" s="237" t="s">
        <v>1141</v>
      </c>
      <c r="G90" s="237" t="s">
        <v>3116</v>
      </c>
      <c r="H90" t="s">
        <v>1005</v>
      </c>
      <c r="I90" t="s">
        <v>3113</v>
      </c>
    </row>
    <row r="91" spans="1:9" ht="22.5" customHeight="1" x14ac:dyDescent="0.3">
      <c r="A91" s="240" t="str">
        <f>IF(OR(SexePerso="Féminin",'Perso Reloaded'!$C$6="Féminin"),"Hantée (faiblement)","Hanté (faiblement)")</f>
        <v>Hanté (faiblement)</v>
      </c>
      <c r="B91" s="240" t="str">
        <f>IF(Calc!$U$93=TRUE,A91,"")</f>
        <v/>
      </c>
      <c r="C91" s="58" t="s">
        <v>3758</v>
      </c>
      <c r="D91" s="58">
        <v>-1</v>
      </c>
      <c r="E91" s="65" t="s">
        <v>1160</v>
      </c>
      <c r="F91" s="236" t="s">
        <v>1142</v>
      </c>
      <c r="G91" s="237" t="s">
        <v>5113</v>
      </c>
      <c r="H91" t="s">
        <v>1102</v>
      </c>
      <c r="I91" s="239" t="s">
        <v>5118</v>
      </c>
    </row>
    <row r="92" spans="1:9" ht="22.5" customHeight="1" x14ac:dyDescent="0.3">
      <c r="A92" s="240" t="str">
        <f>IF(OR(SexePerso="Féminin",'Perso Reloaded'!$C$6="Féminin"),"Hantée (moyennement)","Hanté (moyennement)")</f>
        <v>Hanté (moyennement)</v>
      </c>
      <c r="B92" s="240" t="str">
        <f>IF(Calc!$U$93=TRUE,A92,"")</f>
        <v/>
      </c>
      <c r="C92" s="58" t="s">
        <v>3758</v>
      </c>
      <c r="D92" s="58">
        <v>-2</v>
      </c>
      <c r="E92" s="65" t="s">
        <v>1160</v>
      </c>
      <c r="F92" s="236" t="s">
        <v>1143</v>
      </c>
      <c r="G92" s="237" t="s">
        <v>5114</v>
      </c>
      <c r="H92" t="s">
        <v>1102</v>
      </c>
      <c r="I92" s="239" t="s">
        <v>5118</v>
      </c>
    </row>
    <row r="93" spans="1:9" ht="22.5" customHeight="1" x14ac:dyDescent="0.3">
      <c r="A93" s="240" t="str">
        <f>IF(OR(SexePerso="Féminin",'Perso Reloaded'!$C$6="Féminin"),"Hantée (fortemment)","Hanté (fortemment)")</f>
        <v>Hanté (fortemment)</v>
      </c>
      <c r="B93" s="240" t="str">
        <f>IF(Calc!$U$93=TRUE,A93,"")</f>
        <v/>
      </c>
      <c r="C93" s="58" t="s">
        <v>3757</v>
      </c>
      <c r="D93" s="58">
        <v>-3</v>
      </c>
      <c r="E93" s="65" t="s">
        <v>1160</v>
      </c>
      <c r="F93" s="236" t="s">
        <v>1144</v>
      </c>
      <c r="G93" s="237" t="s">
        <v>5115</v>
      </c>
      <c r="H93" t="s">
        <v>1102</v>
      </c>
      <c r="I93" s="239" t="s">
        <v>5118</v>
      </c>
    </row>
    <row r="94" spans="1:9" ht="22.5" customHeight="1" x14ac:dyDescent="0.3">
      <c r="A94" s="240" t="str">
        <f>IF(OR(SexePerso="Féminin",'Perso Reloaded'!$C$6="Féminin"),"Hantée (extrêmement)","Hanté (extrêmement)")</f>
        <v>Hanté (extrêmement)</v>
      </c>
      <c r="B94" s="240" t="str">
        <f>IF(Calc!$U$93=TRUE,A94,"")</f>
        <v/>
      </c>
      <c r="C94" s="58" t="s">
        <v>3757</v>
      </c>
      <c r="D94" s="58">
        <v>-4</v>
      </c>
      <c r="E94" s="65" t="s">
        <v>1160</v>
      </c>
      <c r="F94" s="236" t="s">
        <v>1145</v>
      </c>
      <c r="G94" s="237" t="s">
        <v>5116</v>
      </c>
      <c r="H94" t="s">
        <v>1102</v>
      </c>
      <c r="I94" s="239" t="s">
        <v>5118</v>
      </c>
    </row>
    <row r="95" spans="1:9" ht="22.5" customHeight="1" x14ac:dyDescent="0.3">
      <c r="A95" s="240" t="str">
        <f>IF(OR(SexePerso="Féminin",'Perso Reloaded'!$C$6="Féminin"),"Hantée (ultime)","Hanté (ultime)")</f>
        <v>Hanté (ultime)</v>
      </c>
      <c r="B95" s="240" t="str">
        <f>IF(Calc!$U$93=TRUE,A95,"")</f>
        <v/>
      </c>
      <c r="C95" s="58" t="s">
        <v>3757</v>
      </c>
      <c r="D95" s="58">
        <v>-5</v>
      </c>
      <c r="E95" s="65" t="s">
        <v>1160</v>
      </c>
      <c r="F95" s="236" t="s">
        <v>1146</v>
      </c>
      <c r="G95" s="237" t="s">
        <v>5117</v>
      </c>
      <c r="H95" t="s">
        <v>1102</v>
      </c>
      <c r="I95" s="239" t="s">
        <v>5118</v>
      </c>
    </row>
    <row r="96" spans="1:9" ht="22.5" customHeight="1" x14ac:dyDescent="0.3">
      <c r="A96" s="240" t="s">
        <v>236</v>
      </c>
      <c r="B96" s="240" t="str">
        <f t="shared" si="4"/>
        <v>Héroïque</v>
      </c>
      <c r="C96" s="58" t="s">
        <v>3757</v>
      </c>
      <c r="D96" s="58">
        <v>-3</v>
      </c>
      <c r="F96" s="236" t="s">
        <v>1147</v>
      </c>
      <c r="G96" s="236" t="s">
        <v>3106</v>
      </c>
      <c r="H96" t="s">
        <v>1005</v>
      </c>
      <c r="I96" t="s">
        <v>3107</v>
      </c>
    </row>
    <row r="97" spans="1:9" ht="22.5" customHeight="1" x14ac:dyDescent="0.3">
      <c r="A97" s="240" t="s">
        <v>1149</v>
      </c>
      <c r="B97" s="240" t="str">
        <f t="shared" si="4"/>
        <v>Honorable</v>
      </c>
      <c r="C97" s="58" t="s">
        <v>3757</v>
      </c>
      <c r="D97" s="58">
        <v>-3</v>
      </c>
      <c r="F97" s="236" t="s">
        <v>1148</v>
      </c>
      <c r="G97" s="236" t="s">
        <v>1148</v>
      </c>
      <c r="H97" t="s">
        <v>1003</v>
      </c>
      <c r="I97" s="239" t="s">
        <v>3168</v>
      </c>
    </row>
    <row r="98" spans="1:9" ht="22.5" customHeight="1" x14ac:dyDescent="0.3">
      <c r="A98" s="240" t="s">
        <v>241</v>
      </c>
      <c r="B98" s="240" t="str">
        <f t="shared" si="4"/>
        <v>Hors-la-loi (un comté)</v>
      </c>
      <c r="C98" s="58" t="s">
        <v>3758</v>
      </c>
      <c r="D98" s="58">
        <v>-1</v>
      </c>
      <c r="F98" s="236" t="s">
        <v>1150</v>
      </c>
      <c r="G98" s="236" t="s">
        <v>1150</v>
      </c>
      <c r="H98" t="s">
        <v>1005</v>
      </c>
      <c r="I98" s="239" t="s">
        <v>3168</v>
      </c>
    </row>
    <row r="99" spans="1:9" ht="22.5" customHeight="1" x14ac:dyDescent="0.3">
      <c r="A99" s="240" t="s">
        <v>238</v>
      </c>
      <c r="B99" s="240" t="str">
        <f t="shared" si="4"/>
        <v>Hors-la-loi (un état)</v>
      </c>
      <c r="C99" s="58" t="s">
        <v>3758</v>
      </c>
      <c r="D99" s="58">
        <v>-2</v>
      </c>
      <c r="F99" s="236" t="s">
        <v>1150</v>
      </c>
      <c r="G99" s="236" t="s">
        <v>1150</v>
      </c>
      <c r="H99" t="s">
        <v>1005</v>
      </c>
      <c r="I99" s="239" t="s">
        <v>3168</v>
      </c>
    </row>
    <row r="100" spans="1:9" ht="22.5" customHeight="1" x14ac:dyDescent="0.3">
      <c r="A100" s="240" t="s">
        <v>239</v>
      </c>
      <c r="B100" s="240" t="str">
        <f t="shared" si="4"/>
        <v>Hors-la-loi (plusieurs états)</v>
      </c>
      <c r="C100" s="58" t="s">
        <v>3757</v>
      </c>
      <c r="D100" s="58">
        <v>-3</v>
      </c>
      <c r="F100" s="236" t="s">
        <v>1150</v>
      </c>
      <c r="G100" s="236" t="s">
        <v>1150</v>
      </c>
      <c r="H100" t="s">
        <v>1005</v>
      </c>
      <c r="I100" s="239" t="s">
        <v>3168</v>
      </c>
    </row>
    <row r="101" spans="1:9" ht="22.5" customHeight="1" x14ac:dyDescent="0.3">
      <c r="A101" s="240" t="s">
        <v>240</v>
      </c>
      <c r="B101" s="240" t="str">
        <f t="shared" si="4"/>
        <v>Hors-la-loi (tous les états)</v>
      </c>
      <c r="C101" s="58" t="s">
        <v>3757</v>
      </c>
      <c r="D101" s="58">
        <v>-4</v>
      </c>
      <c r="F101" s="236" t="s">
        <v>1150</v>
      </c>
      <c r="G101" s="236" t="s">
        <v>1150</v>
      </c>
      <c r="H101" t="s">
        <v>1005</v>
      </c>
      <c r="I101" s="239" t="s">
        <v>3168</v>
      </c>
    </row>
    <row r="102" spans="1:9" ht="22.5" customHeight="1" x14ac:dyDescent="0.3">
      <c r="A102" s="240" t="s">
        <v>237</v>
      </c>
      <c r="B102" s="240" t="str">
        <f t="shared" si="4"/>
        <v>Hors-la-loi (sur tout le continent)</v>
      </c>
      <c r="C102" s="58" t="s">
        <v>3757</v>
      </c>
      <c r="D102" s="58">
        <v>-5</v>
      </c>
      <c r="F102" s="236" t="s">
        <v>1150</v>
      </c>
      <c r="G102" s="236" t="s">
        <v>1150</v>
      </c>
      <c r="H102" t="s">
        <v>1005</v>
      </c>
      <c r="I102" s="239" t="s">
        <v>3168</v>
      </c>
    </row>
    <row r="103" spans="1:9" ht="22.5" customHeight="1" x14ac:dyDescent="0.3">
      <c r="A103" s="240" t="s">
        <v>242</v>
      </c>
      <c r="B103" s="240" t="str">
        <f t="shared" si="4"/>
        <v>Identité secrète</v>
      </c>
      <c r="C103" s="58" t="s">
        <v>3758</v>
      </c>
      <c r="D103" s="58">
        <v>-2</v>
      </c>
      <c r="F103" s="236" t="s">
        <v>1151</v>
      </c>
      <c r="G103" s="236" t="s">
        <v>1151</v>
      </c>
      <c r="H103" t="s">
        <v>1152</v>
      </c>
      <c r="I103" s="239" t="s">
        <v>3168</v>
      </c>
    </row>
    <row r="104" spans="1:9" ht="22.5" customHeight="1" x14ac:dyDescent="0.3">
      <c r="A104" s="240" t="str">
        <f>IF(OR(SexePerso="Féminin",'Perso Reloaded'!$C$6="Féminin"),"Ignorante","Ignorant")</f>
        <v>Ignorant</v>
      </c>
      <c r="B104" s="240" t="str">
        <f t="shared" si="4"/>
        <v>Ignorant</v>
      </c>
      <c r="C104" s="58" t="s">
        <v>3757</v>
      </c>
      <c r="D104" s="58">
        <v>-4</v>
      </c>
      <c r="F104" s="237" t="s">
        <v>3108</v>
      </c>
      <c r="G104" s="237" t="s">
        <v>4964</v>
      </c>
      <c r="H104" s="239" t="s">
        <v>3168</v>
      </c>
      <c r="I104" t="s">
        <v>3107</v>
      </c>
    </row>
    <row r="105" spans="1:9" ht="22.5" customHeight="1" x14ac:dyDescent="0.3">
      <c r="A105" s="240" t="str">
        <f>IF(OR(SexePerso="Féminin",'Perso Reloaded'!$C$6="Féminin"),"Illétrée","Illétré")</f>
        <v>Illétré</v>
      </c>
      <c r="B105" s="240" t="str">
        <f t="shared" si="4"/>
        <v>Illétré</v>
      </c>
      <c r="C105" s="58" t="s">
        <v>3758</v>
      </c>
      <c r="D105" s="58">
        <v>-3</v>
      </c>
      <c r="F105" s="236" t="s">
        <v>1153</v>
      </c>
      <c r="G105" s="236" t="s">
        <v>3109</v>
      </c>
      <c r="H105" t="s">
        <v>1005</v>
      </c>
      <c r="I105" t="s">
        <v>3107</v>
      </c>
    </row>
    <row r="106" spans="1:9" ht="22.5" customHeight="1" x14ac:dyDescent="0.3">
      <c r="A106" s="240" t="str">
        <f>IF(OR(SexePerso="Féminin",'Perso Reloaded'!$C$6="Féminin"),"Impulsive","Impulsif")</f>
        <v>Impulsif</v>
      </c>
      <c r="B106" s="240" t="str">
        <f t="shared" si="4"/>
        <v>Impulsif</v>
      </c>
      <c r="C106" s="58" t="s">
        <v>3757</v>
      </c>
      <c r="D106" s="58">
        <v>-3</v>
      </c>
      <c r="F106" s="236" t="s">
        <v>1155</v>
      </c>
      <c r="G106" s="236" t="s">
        <v>1155</v>
      </c>
      <c r="H106" t="s">
        <v>1154</v>
      </c>
      <c r="I106" s="239" t="s">
        <v>3168</v>
      </c>
    </row>
    <row r="107" spans="1:9" ht="22.5" customHeight="1" x14ac:dyDescent="0.3">
      <c r="A107" s="240" t="str">
        <f>IF(OR(SexePerso="Féminin",'Perso Reloaded'!$C$6="Féminin"),"Intolérante/ Rancunière/ Chauvaine (faiblement ou peu courant)","Intolérant/ Rancunier/ Chauvin (faiblement ou peu courant)")</f>
        <v>Intolérant/ Rancunier/ Chauvin (faiblement ou peu courant)</v>
      </c>
      <c r="B107" s="240" t="str">
        <f t="shared" si="4"/>
        <v>Intolérant/ Rancunier/ Chauvin (faiblement ou peu courant)</v>
      </c>
      <c r="C107" s="58" t="s">
        <v>3758</v>
      </c>
      <c r="D107" s="58">
        <v>-1</v>
      </c>
      <c r="F107" s="236" t="s">
        <v>1156</v>
      </c>
      <c r="G107" s="236" t="s">
        <v>4436</v>
      </c>
      <c r="H107" t="s">
        <v>1005</v>
      </c>
      <c r="I107" s="239" t="s">
        <v>4791</v>
      </c>
    </row>
    <row r="108" spans="1:9" ht="22.5" customHeight="1" x14ac:dyDescent="0.3">
      <c r="A108" s="240" t="str">
        <f>IF(OR(SexePerso="Féminin",'Perso Reloaded'!$C$6="Féminin"),"Intolérante/ Rancunière/ Chauvaine (moyennement ou courant)","Intolérant/ Rancunier/ Chauvin (moyennement ou courant)")</f>
        <v>Intolérant/ Rancunier/ Chauvin (moyennement ou courant)</v>
      </c>
      <c r="B108" s="240" t="str">
        <f t="shared" si="4"/>
        <v>Intolérant/ Rancunier/ Chauvin (moyennement ou courant)</v>
      </c>
      <c r="C108" s="58" t="s">
        <v>3758</v>
      </c>
      <c r="D108" s="58">
        <v>-2</v>
      </c>
      <c r="F108" s="236" t="s">
        <v>1156</v>
      </c>
      <c r="G108" s="236" t="s">
        <v>4437</v>
      </c>
      <c r="H108" t="s">
        <v>1005</v>
      </c>
      <c r="I108" s="239" t="s">
        <v>4791</v>
      </c>
    </row>
    <row r="109" spans="1:9" ht="22.5" customHeight="1" x14ac:dyDescent="0.3">
      <c r="A109" s="240" t="str">
        <f>IF(OR(SexePerso="Féminin",'Perso Reloaded'!$C$6="Féminin"),"Intolérante/ Rancunière/ Chauvaine (fortemment ou très courant)","Intolérant/ Rancunier/ Chauvin (fortemment ou très courant)")</f>
        <v>Intolérant/ Rancunier/ Chauvin (fortemment ou très courant)</v>
      </c>
      <c r="B109" s="240" t="str">
        <f t="shared" si="4"/>
        <v>Intolérant/ Rancunier/ Chauvin (fortemment ou très courant)</v>
      </c>
      <c r="C109" s="58" t="s">
        <v>3757</v>
      </c>
      <c r="D109" s="58">
        <v>-3</v>
      </c>
      <c r="F109" s="236" t="s">
        <v>1156</v>
      </c>
      <c r="G109" s="236" t="s">
        <v>4438</v>
      </c>
      <c r="H109" t="s">
        <v>1005</v>
      </c>
      <c r="I109" s="239" t="s">
        <v>4791</v>
      </c>
    </row>
    <row r="110" spans="1:9" ht="22.5" customHeight="1" x14ac:dyDescent="0.3">
      <c r="A110" s="240" t="str">
        <f>IF(OR(SexePerso="Féminin",'Perso Reloaded'!$C$6="Féminin"),"Jane la Trouille/Couarde","Joe la Trouille/Couard")</f>
        <v>Joe la Trouille/Couard</v>
      </c>
      <c r="B110" s="240" t="str">
        <f t="shared" si="4"/>
        <v>Joe la Trouille/Couard</v>
      </c>
      <c r="C110" s="58" t="s">
        <v>3757</v>
      </c>
      <c r="D110" s="58">
        <v>-3</v>
      </c>
      <c r="F110" s="237" t="s">
        <v>3567</v>
      </c>
      <c r="G110" s="237" t="s">
        <v>3094</v>
      </c>
      <c r="H110" t="s">
        <v>1005</v>
      </c>
      <c r="I110" t="s">
        <v>3569</v>
      </c>
    </row>
    <row r="111" spans="1:9" ht="22.5" customHeight="1" x14ac:dyDescent="0.3">
      <c r="A111" s="240" t="str">
        <f>IF(OR(SexePerso="Féminin",'Perso Reloaded'!$C$6="Féminin"),"Laide comme un pou/Moche","Laid comme un pou/Moche")</f>
        <v>Laid comme un pou/Moche</v>
      </c>
      <c r="B111" s="240" t="str">
        <f t="shared" si="4"/>
        <v>Laid comme un pou/Moche</v>
      </c>
      <c r="C111" s="58" t="s">
        <v>3758</v>
      </c>
      <c r="D111" s="58">
        <v>-1</v>
      </c>
      <c r="F111" s="237" t="s">
        <v>1157</v>
      </c>
      <c r="G111" s="237" t="s">
        <v>3114</v>
      </c>
      <c r="H111" t="s">
        <v>1005</v>
      </c>
      <c r="I111" t="s">
        <v>3113</v>
      </c>
    </row>
    <row r="112" spans="1:9" ht="22.5" customHeight="1" x14ac:dyDescent="0.3">
      <c r="A112" s="240" t="s">
        <v>3651</v>
      </c>
      <c r="B112" s="240" t="str">
        <f>A112</f>
        <v>La loi de l'Ouest/Code d'Honneur</v>
      </c>
      <c r="C112" s="58" t="s">
        <v>3757</v>
      </c>
      <c r="D112" s="58">
        <v>-3</v>
      </c>
      <c r="F112" s="236" t="s">
        <v>1159</v>
      </c>
      <c r="G112" s="236" t="s">
        <v>3093</v>
      </c>
      <c r="H112" t="s">
        <v>1158</v>
      </c>
      <c r="I112" t="s">
        <v>3087</v>
      </c>
    </row>
    <row r="113" spans="1:9" ht="22.5" customHeight="1" x14ac:dyDescent="0.3">
      <c r="A113" s="240" t="s">
        <v>3652</v>
      </c>
      <c r="B113" s="240" t="str">
        <f>IF(Calc!U93=TRUE,"La Marque du démon","")</f>
        <v/>
      </c>
      <c r="C113" s="58" t="s">
        <v>3758</v>
      </c>
      <c r="D113" s="58">
        <v>-2</v>
      </c>
      <c r="E113" s="65" t="s">
        <v>1160</v>
      </c>
      <c r="F113" s="236" t="s">
        <v>3621</v>
      </c>
      <c r="G113" s="236" t="s">
        <v>5119</v>
      </c>
      <c r="H113" t="s">
        <v>1102</v>
      </c>
      <c r="I113" s="239" t="s">
        <v>5118</v>
      </c>
    </row>
    <row r="114" spans="1:9" ht="22.5" customHeight="1" x14ac:dyDescent="0.3">
      <c r="A114" s="240" t="str">
        <f>IF(OR(SexePerso="Féminin",'Perso Reloaded'!$C$6="Féminin"),"Lambine (lente)","Lambin (lent)")</f>
        <v>Lambin (lent)</v>
      </c>
      <c r="B114" s="240" t="str">
        <f>A114</f>
        <v>Lambin (lent)</v>
      </c>
      <c r="C114" s="58" t="s">
        <v>3758</v>
      </c>
      <c r="D114" s="58">
        <v>-1</v>
      </c>
      <c r="F114" s="236" t="s">
        <v>4442</v>
      </c>
      <c r="G114" s="236" t="s">
        <v>4441</v>
      </c>
      <c r="H114" t="s">
        <v>1090</v>
      </c>
      <c r="I114" t="s">
        <v>3107</v>
      </c>
    </row>
    <row r="115" spans="1:9" ht="22.5" customHeight="1" x14ac:dyDescent="0.3">
      <c r="A115" s="240" t="str">
        <f>IF(OR(SexePerso="Féminin",'Perso Reloaded'!$C$6="Féminin"),"Lambine (très lente)","Lambin (très lent)")</f>
        <v>Lambin (très lent)</v>
      </c>
      <c r="B115" s="240" t="str">
        <f t="shared" ref="B115:B129" si="5">A115</f>
        <v>Lambin (très lent)</v>
      </c>
      <c r="C115" s="58" t="s">
        <v>3758</v>
      </c>
      <c r="D115" s="58">
        <v>-2</v>
      </c>
      <c r="F115" s="236" t="s">
        <v>4631</v>
      </c>
      <c r="G115" s="236" t="s">
        <v>4627</v>
      </c>
      <c r="H115" t="s">
        <v>1090</v>
      </c>
      <c r="I115" t="s">
        <v>3107</v>
      </c>
    </row>
    <row r="116" spans="1:9" ht="22.5" customHeight="1" x14ac:dyDescent="0.3">
      <c r="A116" s="240" t="str">
        <f>IF(OR(SexePerso="Féminin",'Perso Reloaded'!$C$6="Féminin"),"Lambine (vraiment très lente)","Lambin (vraiment très lent)")</f>
        <v>Lambin (vraiment très lent)</v>
      </c>
      <c r="B116" s="240" t="str">
        <f t="shared" si="5"/>
        <v>Lambin (vraiment très lent)</v>
      </c>
      <c r="C116" s="58" t="s">
        <v>3757</v>
      </c>
      <c r="D116" s="58">
        <v>-3</v>
      </c>
      <c r="F116" s="236" t="s">
        <v>4632</v>
      </c>
      <c r="G116" s="236" t="s">
        <v>4628</v>
      </c>
      <c r="H116" t="s">
        <v>1090</v>
      </c>
      <c r="I116" t="s">
        <v>3107</v>
      </c>
    </row>
    <row r="117" spans="1:9" ht="22.5" customHeight="1" x14ac:dyDescent="0.3">
      <c r="A117" s="240" t="str">
        <f>IF(OR(SexePerso="Féminin",'Perso Reloaded'!$C$6="Féminin"),"Lambine (handicapée moteur)","Lambin (handicapé moteur)")</f>
        <v>Lambin (handicapé moteur)</v>
      </c>
      <c r="B117" s="240" t="str">
        <f t="shared" si="5"/>
        <v>Lambin (handicapé moteur)</v>
      </c>
      <c r="C117" s="58" t="s">
        <v>3757</v>
      </c>
      <c r="D117" s="58">
        <v>-4</v>
      </c>
      <c r="F117" s="236" t="s">
        <v>4633</v>
      </c>
      <c r="G117" s="236" t="s">
        <v>4629</v>
      </c>
      <c r="H117" t="s">
        <v>1090</v>
      </c>
      <c r="I117" t="s">
        <v>3107</v>
      </c>
    </row>
    <row r="118" spans="1:9" ht="22.5" customHeight="1" x14ac:dyDescent="0.3">
      <c r="A118" s="240" t="str">
        <f>IF(OR(SexePerso="Féminin",'Perso Reloaded'!$C$6="Féminin"),"Lambine (handicapée moteur grave)","Lambin (handicapé moteur grave)")</f>
        <v>Lambin (handicapé moteur grave)</v>
      </c>
      <c r="B118" s="240" t="str">
        <f t="shared" si="5"/>
        <v>Lambin (handicapé moteur grave)</v>
      </c>
      <c r="C118" s="58" t="s">
        <v>3757</v>
      </c>
      <c r="D118" s="58">
        <v>-5</v>
      </c>
      <c r="F118" s="236" t="s">
        <v>4634</v>
      </c>
      <c r="G118" s="236" t="s">
        <v>4630</v>
      </c>
      <c r="H118" t="s">
        <v>1090</v>
      </c>
      <c r="I118" t="s">
        <v>3107</v>
      </c>
    </row>
    <row r="119" spans="1:9" ht="24" customHeight="1" x14ac:dyDescent="0.3">
      <c r="A119" s="240" t="str">
        <f>IF(OR(SexePerso="Féminin",'Perso Reloaded'!$C$6="Féminin"),"Larbine de la Faucheuse/ Sinistre Servante de la Mort","Larbin de la Faucheuse/ Sinistre Serviteur de la Mort")</f>
        <v>Larbin de la Faucheuse/ Sinistre Serviteur de la Mort</v>
      </c>
      <c r="B119" s="240" t="str">
        <f t="shared" si="5"/>
        <v>Larbin de la Faucheuse/ Sinistre Serviteur de la Mort</v>
      </c>
      <c r="C119" s="58" t="s">
        <v>3757</v>
      </c>
      <c r="D119" s="58">
        <v>-5</v>
      </c>
      <c r="F119" s="236" t="s">
        <v>1161</v>
      </c>
      <c r="G119" s="237" t="s">
        <v>3841</v>
      </c>
      <c r="H119" t="s">
        <v>1090</v>
      </c>
      <c r="I119" t="s">
        <v>3147</v>
      </c>
    </row>
    <row r="120" spans="1:9" ht="22.5" customHeight="1" x14ac:dyDescent="0.3">
      <c r="A120" s="240" t="str">
        <f>IF(OR(SexePerso="Féminin",'Perso Reloaded'!$C$6="Féminin"),"Loyale","Loyal")</f>
        <v>Loyal</v>
      </c>
      <c r="B120" s="240" t="str">
        <f t="shared" si="5"/>
        <v>Loyal</v>
      </c>
      <c r="C120" s="58" t="s">
        <v>3758</v>
      </c>
      <c r="D120" s="58">
        <v>-3</v>
      </c>
      <c r="F120" s="236" t="s">
        <v>1162</v>
      </c>
      <c r="G120" s="236" t="s">
        <v>3141</v>
      </c>
      <c r="H120" t="s">
        <v>1005</v>
      </c>
      <c r="I120" t="s">
        <v>3107</v>
      </c>
    </row>
    <row r="121" spans="1:9" ht="22.5" customHeight="1" x14ac:dyDescent="0.3">
      <c r="A121" s="240" t="str">
        <f>IF(OR('Perso Classic'!$C$6="Féminin",SexePerso="Féminin"),"Misandre","Macho")</f>
        <v>Macho</v>
      </c>
      <c r="B121" s="240" t="str">
        <f t="shared" si="5"/>
        <v>Macho</v>
      </c>
      <c r="C121" s="58" t="s">
        <v>3757</v>
      </c>
      <c r="D121" s="58">
        <v>-3</v>
      </c>
      <c r="F121" s="236" t="s">
        <v>1163</v>
      </c>
      <c r="G121" s="236" t="s">
        <v>4965</v>
      </c>
      <c r="H121" t="s">
        <v>1045</v>
      </c>
      <c r="I121" s="239" t="s">
        <v>3168</v>
      </c>
    </row>
    <row r="122" spans="1:9" ht="22.5" customHeight="1" x14ac:dyDescent="0.3">
      <c r="A122" s="240" t="str">
        <f>IF(OR('Perso Classic'!$C$6="Féminin",SexePerso="Féminin"),"Malade/Souffrante (légère)","Malade/Souffrant (léger)")</f>
        <v>Malade/Souffrant (léger)</v>
      </c>
      <c r="B122" s="240" t="str">
        <f t="shared" si="5"/>
        <v>Malade/Souffrant (léger)</v>
      </c>
      <c r="C122" s="58" t="s">
        <v>3758</v>
      </c>
      <c r="D122" s="58">
        <v>-1</v>
      </c>
      <c r="F122" s="236" t="s">
        <v>1164</v>
      </c>
      <c r="G122" s="236" t="s">
        <v>3149</v>
      </c>
      <c r="H122" t="s">
        <v>1005</v>
      </c>
      <c r="I122" t="s">
        <v>3147</v>
      </c>
    </row>
    <row r="123" spans="1:9" ht="22.5" customHeight="1" x14ac:dyDescent="0.3">
      <c r="A123" s="240" t="str">
        <f>IF(OR('Perso Classic'!$C$6="Féminin",SexePerso="Féminin"),"Malade/Souffrante (majeure/chronique)","Malade/Souffrant (majeur/chronique)")</f>
        <v>Malade/Souffrant (majeur/chronique)</v>
      </c>
      <c r="B123" s="240" t="str">
        <f t="shared" si="5"/>
        <v>Malade/Souffrant (majeur/chronique)</v>
      </c>
      <c r="C123" s="58" t="s">
        <v>3757</v>
      </c>
      <c r="D123" s="58">
        <v>-3</v>
      </c>
      <c r="F123" s="237" t="s">
        <v>1165</v>
      </c>
      <c r="G123" s="236" t="s">
        <v>3150</v>
      </c>
      <c r="H123" t="s">
        <v>1005</v>
      </c>
      <c r="I123" t="s">
        <v>3147</v>
      </c>
    </row>
    <row r="124" spans="1:9" ht="22.5" customHeight="1" x14ac:dyDescent="0.3">
      <c r="A124" s="240" t="str">
        <f>IF(OR('Perso Classic'!$C$6="Féminin",SexePerso="Féminin"),"Malade/Souffrante (mortelle)","Malade/Souffrant (mortel)")</f>
        <v>Malade/Souffrant (mortel)</v>
      </c>
      <c r="B124" s="240" t="str">
        <f t="shared" si="5"/>
        <v>Malade/Souffrant (mortel)</v>
      </c>
      <c r="C124" s="58" t="s">
        <v>3757</v>
      </c>
      <c r="D124" s="58">
        <v>-5</v>
      </c>
      <c r="F124" s="237" t="s">
        <v>1166</v>
      </c>
      <c r="G124" s="236" t="s">
        <v>4966</v>
      </c>
      <c r="H124" t="s">
        <v>1005</v>
      </c>
      <c r="I124" t="s">
        <v>3147</v>
      </c>
    </row>
    <row r="125" spans="1:9" ht="22.5" customHeight="1" x14ac:dyDescent="0.3">
      <c r="A125" s="240" t="str">
        <f>IF(OR('Perso Classic'!$C$6="Féminin",SexePerso="Féminin"),"Manchote","Manchot")</f>
        <v>Manchot</v>
      </c>
      <c r="B125" s="240" t="str">
        <f t="shared" si="5"/>
        <v>Manchot</v>
      </c>
      <c r="C125" s="58" t="s">
        <v>3757</v>
      </c>
      <c r="D125" s="58">
        <v>-3</v>
      </c>
      <c r="F125" s="236" t="s">
        <v>1167</v>
      </c>
      <c r="G125" s="237" t="s">
        <v>3111</v>
      </c>
      <c r="H125" t="s">
        <v>1005</v>
      </c>
      <c r="I125" t="s">
        <v>3107</v>
      </c>
    </row>
    <row r="126" spans="1:9" ht="22.5" customHeight="1" x14ac:dyDescent="0.3">
      <c r="A126" s="240" t="s">
        <v>4967</v>
      </c>
      <c r="B126" s="240" t="str">
        <f t="shared" si="5"/>
        <v>Manie/Bizarrerie (simple indisposition)</v>
      </c>
      <c r="C126" s="58" t="s">
        <v>3758</v>
      </c>
      <c r="D126" s="58">
        <v>-1</v>
      </c>
      <c r="F126" s="236" t="s">
        <v>1168</v>
      </c>
      <c r="G126" s="236" t="s">
        <v>3082</v>
      </c>
      <c r="H126" t="s">
        <v>1005</v>
      </c>
      <c r="I126" t="s">
        <v>3072</v>
      </c>
    </row>
    <row r="127" spans="1:9" ht="22.5" customHeight="1" x14ac:dyDescent="0.3">
      <c r="A127" s="240" t="s">
        <v>4968</v>
      </c>
      <c r="B127" s="240" t="str">
        <f t="shared" si="5"/>
        <v>Manie/Bizarrerie (grave indisposition)</v>
      </c>
      <c r="C127" s="58" t="s">
        <v>3758</v>
      </c>
      <c r="D127" s="58">
        <v>-2</v>
      </c>
      <c r="F127" s="236" t="s">
        <v>1169</v>
      </c>
      <c r="G127" s="236" t="s">
        <v>4969</v>
      </c>
      <c r="H127" t="s">
        <v>1005</v>
      </c>
      <c r="I127" t="s">
        <v>3072</v>
      </c>
    </row>
    <row r="128" spans="1:9" ht="22.5" customHeight="1" x14ac:dyDescent="0.3">
      <c r="A128" s="240" t="s">
        <v>4970</v>
      </c>
      <c r="B128" s="240" t="str">
        <f t="shared" si="5"/>
        <v>Manie/Bizarrerie (totalement écœurant)</v>
      </c>
      <c r="C128" s="58" t="s">
        <v>3757</v>
      </c>
      <c r="D128" s="58">
        <v>-3</v>
      </c>
      <c r="F128" s="236" t="s">
        <v>4971</v>
      </c>
      <c r="G128" s="236" t="s">
        <v>3083</v>
      </c>
      <c r="H128" t="s">
        <v>1005</v>
      </c>
      <c r="I128" t="s">
        <v>3072</v>
      </c>
    </row>
    <row r="129" spans="1:9" ht="22.5" customHeight="1" x14ac:dyDescent="0.3">
      <c r="A129" s="240" t="s">
        <v>1170</v>
      </c>
      <c r="B129" s="240" t="str">
        <f t="shared" si="5"/>
        <v>Marque de Caïn</v>
      </c>
      <c r="C129" s="58" t="s">
        <v>3757</v>
      </c>
      <c r="D129" s="58">
        <v>-5</v>
      </c>
      <c r="F129" s="236" t="s">
        <v>4903</v>
      </c>
      <c r="G129" s="236" t="s">
        <v>4903</v>
      </c>
      <c r="H129" t="s">
        <v>1007</v>
      </c>
      <c r="I129" s="239" t="s">
        <v>3168</v>
      </c>
    </row>
    <row r="130" spans="1:9" ht="22.5" customHeight="1" x14ac:dyDescent="0.3">
      <c r="A130" s="240" t="str">
        <f>IF(OR('Perso Classic'!$C$6="Féminin",SexePerso="Féminin"),"Maudite/Malchanceuse","Maudit/Malchanceux")</f>
        <v>Maudit/Malchanceux</v>
      </c>
      <c r="B130" s="240" t="str">
        <f>A130</f>
        <v>Maudit/Malchanceux</v>
      </c>
      <c r="C130" s="58" t="s">
        <v>3757</v>
      </c>
      <c r="D130" s="58">
        <v>-5</v>
      </c>
      <c r="F130" s="236" t="s">
        <v>1171</v>
      </c>
      <c r="G130" s="236" t="s">
        <v>3110</v>
      </c>
      <c r="H130" t="s">
        <v>1014</v>
      </c>
      <c r="I130" t="s">
        <v>3570</v>
      </c>
    </row>
    <row r="131" spans="1:9" ht="22.5" customHeight="1" x14ac:dyDescent="0.3">
      <c r="A131" s="240" t="s">
        <v>243</v>
      </c>
      <c r="B131" s="240" t="str">
        <f>IF(occulte=TRUE,"Mauvais Karma","")</f>
        <v/>
      </c>
      <c r="C131" s="58" t="s">
        <v>3757</v>
      </c>
      <c r="D131" s="58">
        <v>-5</v>
      </c>
      <c r="E131" s="65" t="s">
        <v>1720</v>
      </c>
      <c r="F131" s="236" t="s">
        <v>1172</v>
      </c>
      <c r="G131" s="236" t="s">
        <v>1172</v>
      </c>
      <c r="H131" t="s">
        <v>1077</v>
      </c>
      <c r="I131" s="239" t="s">
        <v>3168</v>
      </c>
    </row>
    <row r="132" spans="1:9" ht="22.5" customHeight="1" x14ac:dyDescent="0.3">
      <c r="A132" s="67" t="str">
        <f>IF(OR('Perso Classic'!$C$6="Féminin",SexePerso="Féminin"),"Méchante comme un Teigne/Sale Caractère","Méchant comme un Teigne/Sale Caractère")</f>
        <v>Méchant comme un Teigne/Sale Caractère</v>
      </c>
      <c r="B132" s="240" t="str">
        <f>A132</f>
        <v>Méchant comme un Teigne/Sale Caractère</v>
      </c>
      <c r="C132" s="58" t="s">
        <v>3758</v>
      </c>
      <c r="D132" s="58">
        <v>-2</v>
      </c>
      <c r="F132" s="236" t="s">
        <v>1173</v>
      </c>
      <c r="G132" s="236" t="s">
        <v>3140</v>
      </c>
      <c r="H132" t="s">
        <v>1005</v>
      </c>
      <c r="I132" t="s">
        <v>3126</v>
      </c>
    </row>
    <row r="133" spans="1:9" ht="22.5" customHeight="1" x14ac:dyDescent="0.3">
      <c r="A133" s="240" t="str">
        <f>IF(OR('Perso Classic'!$C$6="Féminin",SexePerso="Féminin"),"Méprisante","Méprisant")</f>
        <v>Méprisant</v>
      </c>
      <c r="B133" s="240" t="str">
        <f>A133</f>
        <v>Méprisant</v>
      </c>
      <c r="C133" s="58" t="s">
        <v>3758</v>
      </c>
      <c r="D133" s="58">
        <v>-2</v>
      </c>
      <c r="F133" s="237" t="s">
        <v>1575</v>
      </c>
      <c r="G133" s="237" t="s">
        <v>1575</v>
      </c>
      <c r="H133" t="s">
        <v>1090</v>
      </c>
      <c r="I133" s="239" t="s">
        <v>3168</v>
      </c>
    </row>
    <row r="134" spans="1:9" ht="22.5" customHeight="1" x14ac:dyDescent="0.3">
      <c r="A134" s="240" t="s">
        <v>1409</v>
      </c>
      <c r="B134" s="240" t="str">
        <f>IF(EthniePerso="Indien","Métis","")</f>
        <v/>
      </c>
      <c r="C134" s="58" t="s">
        <v>3758</v>
      </c>
      <c r="D134" s="58">
        <v>-2</v>
      </c>
      <c r="E134" s="65" t="s">
        <v>301</v>
      </c>
      <c r="F134" s="236" t="s">
        <v>1174</v>
      </c>
      <c r="G134" s="236" t="s">
        <v>1174</v>
      </c>
      <c r="H134" t="s">
        <v>1103</v>
      </c>
      <c r="I134" s="239" t="s">
        <v>3168</v>
      </c>
    </row>
    <row r="135" spans="1:9" ht="22.5" customHeight="1" x14ac:dyDescent="0.3">
      <c r="A135" s="240" t="str">
        <f>IF(OR('Perso Classic'!$C$6="Féminin",SexePerso="Féminin"),"Môme (Adolescente)","Môme (Adolescent)")</f>
        <v>Môme (Adolescent)</v>
      </c>
      <c r="B135" s="240" t="str">
        <f>A135</f>
        <v>Môme (Adolescent)</v>
      </c>
      <c r="C135" s="58" t="s">
        <v>3758</v>
      </c>
      <c r="D135" s="58">
        <v>-2</v>
      </c>
      <c r="F135" s="236" t="s">
        <v>3919</v>
      </c>
      <c r="G135" s="236" t="s">
        <v>3916</v>
      </c>
      <c r="H135" t="s">
        <v>1090</v>
      </c>
      <c r="I135" s="239" t="s">
        <v>3168</v>
      </c>
    </row>
    <row r="136" spans="1:9" ht="22.5" customHeight="1" x14ac:dyDescent="0.3">
      <c r="A136" s="240" t="str">
        <f>IF(OR('Perso Classic'!$C$6="Féminin",SexePerso="Féminin"),"Môme (Gamine)","Môme (Gamin)")</f>
        <v>Môme (Gamin)</v>
      </c>
      <c r="B136" s="240" t="str">
        <f>A136</f>
        <v>Môme (Gamin)</v>
      </c>
      <c r="C136" s="58" t="s">
        <v>3757</v>
      </c>
      <c r="D136" s="58">
        <v>-4</v>
      </c>
      <c r="F136" s="236" t="s">
        <v>3918</v>
      </c>
      <c r="G136" s="236" t="s">
        <v>3917</v>
      </c>
      <c r="H136" t="s">
        <v>1090</v>
      </c>
      <c r="I136" t="s">
        <v>3087</v>
      </c>
    </row>
    <row r="137" spans="1:9" ht="22.5" customHeight="1" x14ac:dyDescent="0.3">
      <c r="A137" s="240" t="s">
        <v>4799</v>
      </c>
      <c r="B137" s="240" t="str">
        <f>IF(EthniePerso="Indien","Monomaniaque du bâton","")</f>
        <v/>
      </c>
      <c r="C137" s="58" t="s">
        <v>3758</v>
      </c>
      <c r="D137" s="58">
        <v>-1</v>
      </c>
      <c r="E137" s="65" t="s">
        <v>301</v>
      </c>
      <c r="F137" s="236" t="s">
        <v>4800</v>
      </c>
      <c r="G137" s="236" t="s">
        <v>4800</v>
      </c>
      <c r="H137" s="239" t="s">
        <v>3168</v>
      </c>
      <c r="I137" t="s">
        <v>4791</v>
      </c>
    </row>
    <row r="138" spans="1:9" ht="22.5" customHeight="1" x14ac:dyDescent="0.3">
      <c r="A138" s="240" t="str">
        <f>IF(OR('Perso Classic'!$C$6="Féminin",SexePerso="Féminin"),"Nauséeuse","Nauséeux")</f>
        <v>Nauséeux</v>
      </c>
      <c r="B138" s="240" t="str">
        <f>A138</f>
        <v>Nauséeux</v>
      </c>
      <c r="C138" s="58" t="s">
        <v>3757</v>
      </c>
      <c r="D138" s="58">
        <v>-3</v>
      </c>
      <c r="F138" s="237" t="s">
        <v>1175</v>
      </c>
      <c r="G138" s="237" t="s">
        <v>1175</v>
      </c>
      <c r="H138" t="s">
        <v>1090</v>
      </c>
      <c r="I138" t="s">
        <v>3087</v>
      </c>
    </row>
    <row r="139" spans="1:9" ht="22.5" customHeight="1" x14ac:dyDescent="0.3">
      <c r="A139" s="240" t="str">
        <f>IF(OR('Perso Classic'!$C$6="Féminin",SexePerso="Féminin"),"Née de mauvaise augure","Né de mauvaise augure")</f>
        <v>Né de mauvaise augure</v>
      </c>
      <c r="B139" s="240" t="str">
        <f>IF(EthniePerso="Aztèque","Né de mauvaise augure","")</f>
        <v/>
      </c>
      <c r="C139" s="58" t="s">
        <v>3757</v>
      </c>
      <c r="D139" s="58">
        <v>-3</v>
      </c>
      <c r="E139" s="65" t="s">
        <v>1070</v>
      </c>
      <c r="F139" s="237" t="s">
        <v>3586</v>
      </c>
      <c r="G139" s="237" t="s">
        <v>3653</v>
      </c>
      <c r="H139" t="s">
        <v>1045</v>
      </c>
      <c r="I139" s="239" t="s">
        <v>3168</v>
      </c>
    </row>
    <row r="140" spans="1:9" ht="22.5" customHeight="1" x14ac:dyDescent="0.3">
      <c r="A140" s="240" t="s">
        <v>245</v>
      </c>
      <c r="B140" s="240" t="str">
        <f>A140</f>
        <v>Obligation (peu contraignante)</v>
      </c>
      <c r="C140" s="58" t="s">
        <v>3758</v>
      </c>
      <c r="D140" s="58">
        <v>-1</v>
      </c>
      <c r="F140" s="236" t="s">
        <v>4972</v>
      </c>
      <c r="G140" s="236" t="s">
        <v>4972</v>
      </c>
      <c r="H140" t="s">
        <v>1005</v>
      </c>
      <c r="I140" s="239" t="s">
        <v>3168</v>
      </c>
    </row>
    <row r="141" spans="1:9" ht="22.5" customHeight="1" x14ac:dyDescent="0.3">
      <c r="A141" s="240" t="s">
        <v>246</v>
      </c>
      <c r="B141" s="240" t="str">
        <f t="shared" ref="B141:B144" si="6">A141</f>
        <v>Obligation (contraignante)</v>
      </c>
      <c r="C141" s="58" t="s">
        <v>3758</v>
      </c>
      <c r="D141" s="58">
        <v>-2</v>
      </c>
      <c r="F141" s="236" t="s">
        <v>4972</v>
      </c>
      <c r="G141" s="236" t="s">
        <v>4972</v>
      </c>
      <c r="H141" t="s">
        <v>1005</v>
      </c>
      <c r="I141" s="239" t="s">
        <v>3168</v>
      </c>
    </row>
    <row r="142" spans="1:9" ht="22.5" customHeight="1" x14ac:dyDescent="0.3">
      <c r="A142" s="240" t="s">
        <v>247</v>
      </c>
      <c r="B142" s="240" t="str">
        <f t="shared" si="6"/>
        <v>Obligation (très contraignante)</v>
      </c>
      <c r="C142" s="58" t="s">
        <v>3757</v>
      </c>
      <c r="D142" s="58">
        <v>-3</v>
      </c>
      <c r="F142" s="236" t="s">
        <v>4972</v>
      </c>
      <c r="G142" s="236" t="s">
        <v>4972</v>
      </c>
      <c r="H142" t="s">
        <v>1005</v>
      </c>
      <c r="I142" s="239" t="s">
        <v>3168</v>
      </c>
    </row>
    <row r="143" spans="1:9" ht="22.5" customHeight="1" x14ac:dyDescent="0.3">
      <c r="A143" s="240" t="s">
        <v>248</v>
      </c>
      <c r="B143" s="240" t="str">
        <f t="shared" si="6"/>
        <v>Obligation (très dérangeante)</v>
      </c>
      <c r="C143" s="58" t="s">
        <v>3757</v>
      </c>
      <c r="D143" s="58">
        <v>-4</v>
      </c>
      <c r="F143" s="236" t="s">
        <v>4972</v>
      </c>
      <c r="G143" s="236" t="s">
        <v>4972</v>
      </c>
      <c r="H143" t="s">
        <v>1005</v>
      </c>
      <c r="I143" s="239" t="s">
        <v>3168</v>
      </c>
    </row>
    <row r="144" spans="1:9" ht="22.5" customHeight="1" x14ac:dyDescent="0.3">
      <c r="A144" s="240" t="s">
        <v>249</v>
      </c>
      <c r="B144" s="240" t="str">
        <f t="shared" si="6"/>
        <v>Obligation (mortelle)</v>
      </c>
      <c r="C144" s="58" t="s">
        <v>3757</v>
      </c>
      <c r="D144" s="58">
        <v>-5</v>
      </c>
      <c r="F144" s="236" t="s">
        <v>4972</v>
      </c>
      <c r="G144" s="236" t="s">
        <v>4972</v>
      </c>
      <c r="H144" t="s">
        <v>1005</v>
      </c>
      <c r="I144" s="239" t="s">
        <v>3168</v>
      </c>
    </row>
    <row r="145" spans="1:9" ht="22.5" customHeight="1" x14ac:dyDescent="0.3">
      <c r="A145" s="240" t="s">
        <v>1410</v>
      </c>
      <c r="B145" s="240" t="str">
        <f>IF(EthniePerso="Aztèque","Opoche","")</f>
        <v/>
      </c>
      <c r="C145" s="58" t="s">
        <v>3758</v>
      </c>
      <c r="D145" s="58">
        <v>-2</v>
      </c>
      <c r="E145" s="65" t="s">
        <v>1070</v>
      </c>
      <c r="F145" s="236" t="s">
        <v>1176</v>
      </c>
      <c r="G145" s="236" t="s">
        <v>1176</v>
      </c>
      <c r="H145" t="s">
        <v>1045</v>
      </c>
      <c r="I145" s="239" t="s">
        <v>3168</v>
      </c>
    </row>
    <row r="146" spans="1:9" ht="22.5" customHeight="1" x14ac:dyDescent="0.3">
      <c r="A146" s="240" t="s">
        <v>250</v>
      </c>
      <c r="B146" s="240" t="str">
        <f>A146</f>
        <v>Pacifiste (N'aime pas tuer)</v>
      </c>
      <c r="C146" s="58" t="s">
        <v>3758</v>
      </c>
      <c r="D146" s="58">
        <v>-3</v>
      </c>
      <c r="F146" s="236" t="s">
        <v>1178</v>
      </c>
      <c r="G146" s="236" t="s">
        <v>3118</v>
      </c>
      <c r="H146" t="s">
        <v>1005</v>
      </c>
      <c r="I146" t="s">
        <v>3113</v>
      </c>
    </row>
    <row r="147" spans="1:9" ht="22.5" customHeight="1" x14ac:dyDescent="0.3">
      <c r="A147" s="240" t="s">
        <v>251</v>
      </c>
      <c r="B147" s="240" t="str">
        <f t="shared" ref="B147:B152" si="7">A147</f>
        <v>Pacifiste (Ne tue jamais)</v>
      </c>
      <c r="C147" s="58" t="s">
        <v>3757</v>
      </c>
      <c r="D147" s="58">
        <v>-5</v>
      </c>
      <c r="F147" s="236" t="s">
        <v>1179</v>
      </c>
      <c r="G147" s="236" t="s">
        <v>3119</v>
      </c>
      <c r="H147" t="s">
        <v>1005</v>
      </c>
      <c r="I147" t="s">
        <v>3113</v>
      </c>
    </row>
    <row r="148" spans="1:9" ht="22.5" customHeight="1" x14ac:dyDescent="0.3">
      <c r="A148" s="240" t="s">
        <v>4973</v>
      </c>
      <c r="B148" s="240" t="str">
        <f t="shared" si="7"/>
        <v>Panier Percé/Poches Percées</v>
      </c>
      <c r="C148" s="58" t="s">
        <v>3758</v>
      </c>
      <c r="D148" s="58">
        <v>-3</v>
      </c>
      <c r="F148" s="236" t="s">
        <v>1180</v>
      </c>
      <c r="G148" s="236" t="s">
        <v>3124</v>
      </c>
      <c r="H148" t="s">
        <v>1005</v>
      </c>
      <c r="I148" t="s">
        <v>3113</v>
      </c>
    </row>
    <row r="149" spans="1:9" ht="22.5" customHeight="1" x14ac:dyDescent="0.3">
      <c r="A149" s="240" t="str">
        <f>IF(OR('Perso Classic'!$C$6="Féminin",SexePerso="Féminin"),"Parasitée","Parasité")</f>
        <v>Parasité</v>
      </c>
      <c r="B149" s="240" t="str">
        <f>A149</f>
        <v>Parasité</v>
      </c>
      <c r="C149" s="58" t="s">
        <v>3757</v>
      </c>
      <c r="D149" s="58">
        <v>-4</v>
      </c>
      <c r="F149" s="236" t="s">
        <v>4898</v>
      </c>
      <c r="G149" s="236" t="s">
        <v>4899</v>
      </c>
      <c r="H149" t="s">
        <v>2123</v>
      </c>
      <c r="I149" t="s">
        <v>2123</v>
      </c>
    </row>
    <row r="150" spans="1:9" ht="22.5" customHeight="1" x14ac:dyDescent="0.3">
      <c r="A150" s="240" t="s">
        <v>4787</v>
      </c>
      <c r="B150" s="240" t="str">
        <f t="shared" si="7"/>
        <v>Pas de Bol/ Aimant à problèmes (mineur)</v>
      </c>
      <c r="C150" s="58" t="s">
        <v>3758</v>
      </c>
      <c r="D150" s="58">
        <v>-3</v>
      </c>
      <c r="F150" s="236" t="s">
        <v>4789</v>
      </c>
      <c r="G150" s="236" t="s">
        <v>4790</v>
      </c>
      <c r="H150" s="239" t="s">
        <v>3168</v>
      </c>
      <c r="I150" t="s">
        <v>4791</v>
      </c>
    </row>
    <row r="151" spans="1:9" ht="22.5" customHeight="1" x14ac:dyDescent="0.3">
      <c r="A151" s="240" t="s">
        <v>4788</v>
      </c>
      <c r="B151" s="240" t="str">
        <f t="shared" si="7"/>
        <v>Pas de Bol/ Aimant à problèmes (majeur)</v>
      </c>
      <c r="C151" s="58" t="s">
        <v>3757</v>
      </c>
      <c r="D151" s="58">
        <v>-5</v>
      </c>
      <c r="F151" s="236" t="s">
        <v>3169</v>
      </c>
      <c r="G151" s="236" t="s">
        <v>3587</v>
      </c>
      <c r="H151" t="s">
        <v>1005</v>
      </c>
      <c r="I151" t="s">
        <v>4791</v>
      </c>
    </row>
    <row r="152" spans="1:9" ht="22.5" customHeight="1" x14ac:dyDescent="0.3">
      <c r="A152" s="240" t="str">
        <f>IF(OR('Perso Classic'!$C$6="Féminin",SexePerso="Féminin"),"Paumée","Paumé")</f>
        <v>Paumé</v>
      </c>
      <c r="B152" s="240" t="str">
        <f t="shared" si="7"/>
        <v>Paumé</v>
      </c>
      <c r="C152" s="58" t="s">
        <v>3758</v>
      </c>
      <c r="D152" s="58">
        <v>-3</v>
      </c>
      <c r="F152" s="237" t="s">
        <v>4974</v>
      </c>
      <c r="G152" s="237" t="s">
        <v>4974</v>
      </c>
      <c r="H152" t="s">
        <v>1005</v>
      </c>
      <c r="I152" s="239" t="s">
        <v>3168</v>
      </c>
    </row>
    <row r="153" spans="1:9" ht="22.5" customHeight="1" x14ac:dyDescent="0.3">
      <c r="A153" s="240" t="str">
        <f>IF(OR('Perso Classic'!$C$6="Féminin",SexePerso="Féminin"),"Petite","Petit")</f>
        <v>Petit</v>
      </c>
      <c r="B153" s="240" t="str">
        <f>A153</f>
        <v>Petit</v>
      </c>
      <c r="C153" s="58" t="s">
        <v>3757</v>
      </c>
      <c r="D153" s="58">
        <v>-3</v>
      </c>
      <c r="F153" s="237" t="s">
        <v>1188</v>
      </c>
      <c r="G153" s="236" t="s">
        <v>4443</v>
      </c>
      <c r="H153" s="239" t="s">
        <v>3168</v>
      </c>
      <c r="I153" s="239" t="s">
        <v>4290</v>
      </c>
    </row>
    <row r="154" spans="1:9" ht="22.5" customHeight="1" x14ac:dyDescent="0.3">
      <c r="A154" s="240" t="s">
        <v>1411</v>
      </c>
      <c r="B154" s="240" t="str">
        <f>A154</f>
        <v>Pied Noir</v>
      </c>
      <c r="C154" s="58" t="s">
        <v>3758</v>
      </c>
      <c r="D154" s="58">
        <v>-1</v>
      </c>
      <c r="F154" s="237" t="s">
        <v>1181</v>
      </c>
      <c r="G154" s="237" t="s">
        <v>1181</v>
      </c>
      <c r="H154" t="s">
        <v>1017</v>
      </c>
      <c r="I154" s="239" t="s">
        <v>3168</v>
      </c>
    </row>
    <row r="155" spans="1:9" ht="22.5" customHeight="1" x14ac:dyDescent="0.3">
      <c r="A155" s="240" t="s">
        <v>252</v>
      </c>
      <c r="B155" s="240" t="str">
        <f>A155</f>
        <v>Pied Tendre</v>
      </c>
      <c r="C155" s="58" t="s">
        <v>3758</v>
      </c>
      <c r="D155" s="58">
        <v>-2</v>
      </c>
      <c r="F155" s="236" t="s">
        <v>1182</v>
      </c>
      <c r="G155" s="236" t="s">
        <v>3123</v>
      </c>
      <c r="H155" t="s">
        <v>1005</v>
      </c>
      <c r="I155" t="s">
        <v>3113</v>
      </c>
    </row>
    <row r="156" spans="1:9" ht="22.5" customHeight="1" x14ac:dyDescent="0.3">
      <c r="A156" s="240" t="s">
        <v>4667</v>
      </c>
      <c r="B156" s="240" t="str">
        <f>IF(Illumination=TRUE,"Pile électrique/La Coupe déborde","")</f>
        <v/>
      </c>
      <c r="C156" s="58" t="s">
        <v>3757</v>
      </c>
      <c r="D156" s="58">
        <v>-3</v>
      </c>
      <c r="E156" s="65" t="s">
        <v>269</v>
      </c>
      <c r="F156" s="236" t="s">
        <v>3588</v>
      </c>
      <c r="G156" s="236" t="s">
        <v>4444</v>
      </c>
      <c r="H156" t="s">
        <v>1006</v>
      </c>
      <c r="I156" s="239" t="s">
        <v>4668</v>
      </c>
    </row>
    <row r="157" spans="1:9" ht="22.5" customHeight="1" x14ac:dyDescent="0.3">
      <c r="A157" s="240" t="s">
        <v>4303</v>
      </c>
      <c r="B157" s="240" t="str">
        <f>A157</f>
        <v>Porte-malheur</v>
      </c>
      <c r="C157" s="58" t="s">
        <v>3757</v>
      </c>
      <c r="D157" s="58">
        <v>-3</v>
      </c>
      <c r="F157" s="236" t="s">
        <v>4888</v>
      </c>
      <c r="G157" s="236" t="s">
        <v>4889</v>
      </c>
      <c r="H157" t="s">
        <v>2123</v>
      </c>
      <c r="I157" s="239" t="s">
        <v>2123</v>
      </c>
    </row>
    <row r="158" spans="1:9" ht="22.5" customHeight="1" x14ac:dyDescent="0.3">
      <c r="A158" s="240" t="s">
        <v>4325</v>
      </c>
      <c r="B158" s="240" t="str">
        <f>A158</f>
        <v>Porteur de désespoir</v>
      </c>
      <c r="C158" s="58" t="s">
        <v>3757</v>
      </c>
      <c r="D158" s="58">
        <v>-5</v>
      </c>
      <c r="F158" s="236" t="s">
        <v>4890</v>
      </c>
      <c r="G158" s="236" t="s">
        <v>4891</v>
      </c>
      <c r="H158" t="s">
        <v>2123</v>
      </c>
      <c r="I158" s="239" t="s">
        <v>2123</v>
      </c>
    </row>
    <row r="159" spans="1:9" ht="22.5" customHeight="1" x14ac:dyDescent="0.3">
      <c r="A159" s="240" t="str">
        <f>IF(OR('Perso Classic'!$C$6="Féminin",SexePerso="Féminin"),"Pitoyable Menteuse/Les Yeux du Menteur","Pitoyable Menteur/Les Yeux du Menteur")</f>
        <v>Pitoyable Menteur/Les Yeux du Menteur</v>
      </c>
      <c r="B159" s="240" t="str">
        <f>A159</f>
        <v>Pitoyable Menteur/Les Yeux du Menteur</v>
      </c>
      <c r="C159" s="58" t="s">
        <v>3758</v>
      </c>
      <c r="D159" s="58">
        <v>-3</v>
      </c>
      <c r="F159" s="236" t="s">
        <v>1183</v>
      </c>
      <c r="G159" s="237" t="s">
        <v>3153</v>
      </c>
      <c r="H159" t="s">
        <v>1090</v>
      </c>
      <c r="I159" t="s">
        <v>3147</v>
      </c>
    </row>
    <row r="160" spans="1:9" ht="22.5" customHeight="1" x14ac:dyDescent="0.3">
      <c r="A160" s="240" t="str">
        <f>IF(OR('Perso Classic'!$C$6="Féminin",SexePerso="Féminin"),"Précautionneuse/Prudente","Précautionneux/Prudent")</f>
        <v>Précautionneux/Prudent</v>
      </c>
      <c r="B160" s="240" t="str">
        <f t="shared" ref="B160:B161" si="8">A160</f>
        <v>Précautionneux/Prudent</v>
      </c>
      <c r="C160" s="58" t="s">
        <v>3758</v>
      </c>
      <c r="D160" s="58">
        <v>-3</v>
      </c>
      <c r="F160" s="236" t="s">
        <v>1184</v>
      </c>
      <c r="G160" s="236" t="s">
        <v>3127</v>
      </c>
      <c r="H160" t="s">
        <v>1090</v>
      </c>
      <c r="I160" t="s">
        <v>3126</v>
      </c>
    </row>
    <row r="161" spans="1:9" ht="22.5" customHeight="1" x14ac:dyDescent="0.3">
      <c r="A161" s="240" t="str">
        <f>IF(OR('Perso Classic'!$C$6="Féminin",SexePerso="Féminin"),"Puante","Puant")</f>
        <v>Puant</v>
      </c>
      <c r="B161" s="240" t="str">
        <f t="shared" si="8"/>
        <v>Puant</v>
      </c>
      <c r="C161" s="58" t="s">
        <v>3758</v>
      </c>
      <c r="D161" s="58">
        <v>-2</v>
      </c>
      <c r="F161" s="236" t="s">
        <v>4497</v>
      </c>
      <c r="G161" s="236" t="s">
        <v>4498</v>
      </c>
      <c r="H161" t="s">
        <v>1017</v>
      </c>
      <c r="I161" s="239" t="s">
        <v>3168</v>
      </c>
    </row>
    <row r="162" spans="1:9" ht="22.5" customHeight="1" x14ac:dyDescent="0.3">
      <c r="A162" s="240" t="str">
        <f>IF(OR('Perso Classic'!$C$6="Féminin",SexePerso="Féminin"),"Qui c'est la plus forte? (défis rares)","Qui c'est le plus fort? (défis rares)")</f>
        <v>Qui c'est le plus fort? (défis rares)</v>
      </c>
      <c r="B162" s="240" t="str">
        <f>IF(Arts_Martiaux=TRUE,"Qui c'est le plus fort? (défis rares)","")</f>
        <v/>
      </c>
      <c r="C162" s="58" t="s">
        <v>3758</v>
      </c>
      <c r="D162" s="58">
        <v>-1</v>
      </c>
      <c r="E162" s="65" t="s">
        <v>119</v>
      </c>
      <c r="F162" s="236" t="s">
        <v>1185</v>
      </c>
      <c r="G162" s="236" t="s">
        <v>3589</v>
      </c>
      <c r="H162" t="s">
        <v>1006</v>
      </c>
      <c r="I162" s="239" t="s">
        <v>3168</v>
      </c>
    </row>
    <row r="163" spans="1:9" ht="22.5" customHeight="1" x14ac:dyDescent="0.3">
      <c r="A163" s="240" t="str">
        <f>IF(OR('Perso Classic'!$C$6="Féminin",SexePerso="Féminin"),"Qui c'est la plus forte? (défis courants)","Qui c'est le plus fort? (défis courants)")</f>
        <v>Qui c'est le plus fort? (défis courants)</v>
      </c>
      <c r="B163" s="240" t="str">
        <f>IF(Arts_Martiaux=TRUE,"Qui c'est le plus fort? (défis courants)","")</f>
        <v/>
      </c>
      <c r="C163" s="58" t="s">
        <v>3758</v>
      </c>
      <c r="D163" s="58">
        <v>-2</v>
      </c>
      <c r="E163" s="65" t="s">
        <v>119</v>
      </c>
      <c r="F163" s="236" t="s">
        <v>1186</v>
      </c>
      <c r="G163" s="236" t="s">
        <v>3590</v>
      </c>
      <c r="H163" t="s">
        <v>1006</v>
      </c>
      <c r="I163" s="239" t="s">
        <v>3168</v>
      </c>
    </row>
    <row r="164" spans="1:9" ht="22.5" customHeight="1" x14ac:dyDescent="0.3">
      <c r="A164" s="240" t="str">
        <f>IF(OR('Perso Classic'!$C$6="Féminin",SexePerso="Féminin"),"Qui c'est la plus forte? (incontrôlable)","Qui c'est le plus fort? (incontrôlable)")</f>
        <v>Qui c'est le plus fort? (incontrôlable)</v>
      </c>
      <c r="B164" s="240" t="str">
        <f>IF(Arts_Martiaux=TRUE,"Qui c'est le plus fort? (incontrôlable)","")</f>
        <v/>
      </c>
      <c r="C164" s="58" t="s">
        <v>3757</v>
      </c>
      <c r="D164" s="58">
        <v>-3</v>
      </c>
      <c r="E164" s="65" t="s">
        <v>119</v>
      </c>
      <c r="F164" s="236" t="s">
        <v>1187</v>
      </c>
      <c r="G164" s="236" t="s">
        <v>1187</v>
      </c>
      <c r="H164" t="s">
        <v>1006</v>
      </c>
      <c r="I164" s="239" t="s">
        <v>3168</v>
      </c>
    </row>
    <row r="165" spans="1:9" ht="22.5" customHeight="1" x14ac:dyDescent="0.3">
      <c r="A165" s="240" t="s">
        <v>3655</v>
      </c>
      <c r="B165" s="240" t="str">
        <f>A165</f>
        <v>Rachitique/Frêle</v>
      </c>
      <c r="C165" s="58" t="s">
        <v>3757</v>
      </c>
      <c r="D165" s="58">
        <v>-5</v>
      </c>
      <c r="F165" s="236" t="s">
        <v>1188</v>
      </c>
      <c r="G165" s="236" t="s">
        <v>3105</v>
      </c>
      <c r="H165" t="s">
        <v>1005</v>
      </c>
      <c r="I165" t="s">
        <v>3087</v>
      </c>
    </row>
    <row r="166" spans="1:9" ht="22.5" customHeight="1" x14ac:dyDescent="0.3">
      <c r="A166" s="240" t="str">
        <f>IF(OR('Perso Classic'!$C$6="Féminin",SexePerso="Féminin"),"Recluse","Reclus")</f>
        <v>Reclus</v>
      </c>
      <c r="B166" s="240" t="str">
        <f t="shared" ref="B166:B171" si="9">A166</f>
        <v>Reclus</v>
      </c>
      <c r="C166" s="58" t="s">
        <v>3758</v>
      </c>
      <c r="D166" s="58">
        <v>-1</v>
      </c>
      <c r="F166" s="236" t="s">
        <v>1189</v>
      </c>
      <c r="G166" s="236" t="s">
        <v>3592</v>
      </c>
      <c r="H166" t="s">
        <v>1017</v>
      </c>
      <c r="I166" s="239" t="s">
        <v>3168</v>
      </c>
    </row>
    <row r="167" spans="1:9" ht="22.5" customHeight="1" x14ac:dyDescent="0.3">
      <c r="A167" s="240" t="str">
        <f>IF(OR('Perso Classic'!$C$6="Féminin",SexePerso="Féminin"),"Recherché (voleuse)","Recherché (voleur)")</f>
        <v>Recherché (voleur)</v>
      </c>
      <c r="B167" s="240" t="str">
        <f t="shared" si="9"/>
        <v>Recherché (voleur)</v>
      </c>
      <c r="C167" s="58" t="s">
        <v>3758</v>
      </c>
      <c r="D167" s="58">
        <v>-1</v>
      </c>
      <c r="F167" s="236" t="s">
        <v>1193</v>
      </c>
      <c r="G167" s="236" t="s">
        <v>3130</v>
      </c>
      <c r="H167" t="s">
        <v>1194</v>
      </c>
      <c r="I167" t="s">
        <v>3126</v>
      </c>
    </row>
    <row r="168" spans="1:9" ht="22.5" customHeight="1" x14ac:dyDescent="0.3">
      <c r="A168" s="240" t="str">
        <f>IF(OR('Perso Classic'!$C$6="Féminin",SexePerso="Féminin"),"Recherché (escroqueuse)","Recherché (escroc)")</f>
        <v>Recherché (escroc)</v>
      </c>
      <c r="B168" s="240" t="str">
        <f t="shared" si="9"/>
        <v>Recherché (escroc)</v>
      </c>
      <c r="C168" s="58" t="s">
        <v>3758</v>
      </c>
      <c r="D168" s="58">
        <v>-2</v>
      </c>
      <c r="F168" s="236" t="s">
        <v>1193</v>
      </c>
      <c r="G168" s="236" t="s">
        <v>3131</v>
      </c>
      <c r="H168" t="s">
        <v>1194</v>
      </c>
      <c r="I168" t="s">
        <v>3126</v>
      </c>
    </row>
    <row r="169" spans="1:9" ht="22.5" customHeight="1" x14ac:dyDescent="0.3">
      <c r="A169" s="240" t="s">
        <v>1190</v>
      </c>
      <c r="B169" s="240" t="str">
        <f t="shared" si="9"/>
        <v>Recherché (hors-la-loi)</v>
      </c>
      <c r="C169" s="58" t="s">
        <v>3757</v>
      </c>
      <c r="D169" s="58">
        <v>-3</v>
      </c>
      <c r="F169" s="236" t="s">
        <v>1193</v>
      </c>
      <c r="G169" s="236" t="s">
        <v>3133</v>
      </c>
      <c r="H169" t="s">
        <v>1194</v>
      </c>
      <c r="I169" t="s">
        <v>3126</v>
      </c>
    </row>
    <row r="170" spans="1:9" ht="22.5" customHeight="1" x14ac:dyDescent="0.3">
      <c r="A170" s="240" t="s">
        <v>1191</v>
      </c>
      <c r="B170" s="240" t="str">
        <f t="shared" si="9"/>
        <v>Recherché (desperado)</v>
      </c>
      <c r="C170" s="58" t="s">
        <v>3758</v>
      </c>
      <c r="D170" s="58">
        <v>-4</v>
      </c>
      <c r="F170" s="236" t="s">
        <v>1193</v>
      </c>
      <c r="G170" s="236" t="s">
        <v>3132</v>
      </c>
      <c r="H170" t="s">
        <v>1194</v>
      </c>
      <c r="I170" t="s">
        <v>3126</v>
      </c>
    </row>
    <row r="171" spans="1:9" ht="22.5" customHeight="1" x14ac:dyDescent="0.3">
      <c r="A171" s="240" t="s">
        <v>1192</v>
      </c>
      <c r="B171" s="240" t="str">
        <f t="shared" si="9"/>
        <v>Recherché (bandit de grand chemin)</v>
      </c>
      <c r="C171" s="58" t="s">
        <v>3757</v>
      </c>
      <c r="D171" s="58">
        <v>-5</v>
      </c>
      <c r="F171" s="236" t="s">
        <v>1193</v>
      </c>
      <c r="G171" s="236" t="s">
        <v>3134</v>
      </c>
      <c r="H171" t="s">
        <v>1194</v>
      </c>
      <c r="I171" t="s">
        <v>3126</v>
      </c>
    </row>
    <row r="172" spans="1:9" ht="22.5" customHeight="1" x14ac:dyDescent="0.3">
      <c r="A172" s="240" t="s">
        <v>4911</v>
      </c>
      <c r="B172" s="240" t="str">
        <f>A172</f>
        <v>Remords</v>
      </c>
      <c r="C172" s="58" t="s">
        <v>3757</v>
      </c>
      <c r="D172" s="58">
        <v>-3</v>
      </c>
      <c r="F172" s="236" t="s">
        <v>4912</v>
      </c>
      <c r="G172" s="236" t="s">
        <v>4912</v>
      </c>
      <c r="H172" t="s">
        <v>2123</v>
      </c>
      <c r="I172" t="s">
        <v>2123</v>
      </c>
    </row>
    <row r="173" spans="1:9" ht="29.25" customHeight="1" x14ac:dyDescent="0.3">
      <c r="A173" s="67" t="s">
        <v>3656</v>
      </c>
      <c r="B173" s="240" t="str">
        <f>IF(EthniePerso="Indien","Respect des coutumes ancestrales/Serment des Anciennes traditions","")</f>
        <v/>
      </c>
      <c r="C173" s="58" t="s">
        <v>3758</v>
      </c>
      <c r="D173" s="58">
        <v>-3</v>
      </c>
      <c r="E173" s="65" t="s">
        <v>301</v>
      </c>
      <c r="F173" s="236" t="s">
        <v>3145</v>
      </c>
      <c r="G173" s="236" t="s">
        <v>3145</v>
      </c>
      <c r="H173" t="s">
        <v>1103</v>
      </c>
      <c r="I173" t="s">
        <v>3126</v>
      </c>
    </row>
    <row r="174" spans="1:9" ht="22.5" customHeight="1" x14ac:dyDescent="0.3">
      <c r="A174" s="67" t="s">
        <v>3657</v>
      </c>
      <c r="B174" s="240" t="str">
        <f>IF(EthniePerso="Indien","Respect des coutumes ancestrales/Serment des Anciennes traditions a tout prix","")</f>
        <v/>
      </c>
      <c r="C174" s="58" t="s">
        <v>3757</v>
      </c>
      <c r="D174" s="58">
        <v>-5</v>
      </c>
      <c r="E174" s="65" t="s">
        <v>301</v>
      </c>
      <c r="F174" s="236" t="s">
        <v>3146</v>
      </c>
      <c r="G174" s="236" t="s">
        <v>3146</v>
      </c>
      <c r="H174" t="s">
        <v>1103</v>
      </c>
      <c r="I174" t="s">
        <v>3126</v>
      </c>
    </row>
    <row r="175" spans="1:9" ht="22.5" customHeight="1" x14ac:dyDescent="0.3">
      <c r="A175" s="240" t="str">
        <f>IF(OR('Perso Classic'!$C$6="Féminin",SexePerso="Féminin"),"Revancharde/Rancunière (Jusqu'à tuer))","Revanchard/Rancunier (Jusqu'à tuer)")</f>
        <v>Revanchard/Rancunier (Jusqu'à tuer)</v>
      </c>
      <c r="B175" s="240" t="str">
        <f>A175</f>
        <v>Revanchard/Rancunier (Jusqu'à tuer)</v>
      </c>
      <c r="C175" s="58" t="s">
        <v>3757</v>
      </c>
      <c r="D175" s="58">
        <v>-5</v>
      </c>
      <c r="F175" s="236" t="s">
        <v>3128</v>
      </c>
      <c r="G175" s="236" t="s">
        <v>3128</v>
      </c>
      <c r="H175" t="s">
        <v>1005</v>
      </c>
      <c r="I175" t="s">
        <v>3126</v>
      </c>
    </row>
    <row r="176" spans="1:9" ht="22.5" customHeight="1" x14ac:dyDescent="0.3">
      <c r="A176" s="240" t="str">
        <f>IF(OR('Perso Classic'!$C$6="Féminin",SexePerso="Féminin"),"Revancharde/Rancunière)","Revanchard/Rancunier")</f>
        <v>Revanchard/Rancunier</v>
      </c>
      <c r="B176" s="240" t="str">
        <f t="shared" ref="B176:B177" si="10">A176</f>
        <v>Revanchard/Rancunier</v>
      </c>
      <c r="C176" s="58" t="s">
        <v>3758</v>
      </c>
      <c r="D176" s="58">
        <v>-3</v>
      </c>
      <c r="F176" s="236" t="s">
        <v>3129</v>
      </c>
      <c r="G176" s="236" t="s">
        <v>3129</v>
      </c>
      <c r="H176" t="s">
        <v>1005</v>
      </c>
      <c r="I176" t="s">
        <v>3126</v>
      </c>
    </row>
    <row r="177" spans="1:9" ht="22.5" customHeight="1" x14ac:dyDescent="0.3">
      <c r="A177" s="240" t="s">
        <v>3138</v>
      </c>
      <c r="B177" s="240" t="str">
        <f t="shared" si="10"/>
        <v>Rien à perdre</v>
      </c>
      <c r="C177" s="58" t="s">
        <v>3758</v>
      </c>
      <c r="D177" s="58">
        <v>-2</v>
      </c>
      <c r="F177" s="236" t="s">
        <v>3139</v>
      </c>
      <c r="G177" s="236" t="s">
        <v>3139</v>
      </c>
      <c r="H177" s="239" t="s">
        <v>3168</v>
      </c>
      <c r="I177" t="s">
        <v>3126</v>
      </c>
    </row>
    <row r="178" spans="1:9" ht="22.5" customHeight="1" x14ac:dyDescent="0.3">
      <c r="A178" s="240" t="s">
        <v>1412</v>
      </c>
      <c r="B178" s="240" t="str">
        <f>IF(EthniePerso="Aztèque","Sacrifice de sang","")</f>
        <v/>
      </c>
      <c r="C178" s="58" t="s">
        <v>3758</v>
      </c>
      <c r="D178" s="58">
        <v>-2</v>
      </c>
      <c r="E178" s="65" t="s">
        <v>1070</v>
      </c>
      <c r="F178" s="236" t="s">
        <v>1195</v>
      </c>
      <c r="G178" s="236" t="s">
        <v>3591</v>
      </c>
      <c r="H178" t="s">
        <v>1045</v>
      </c>
      <c r="I178" s="239" t="s">
        <v>3168</v>
      </c>
    </row>
    <row r="179" spans="1:9" ht="22.5" customHeight="1" x14ac:dyDescent="0.3">
      <c r="A179" s="240" t="s">
        <v>253</v>
      </c>
      <c r="B179" s="240" t="str">
        <f>A179</f>
        <v>Sanguinaire</v>
      </c>
      <c r="C179" s="58" t="s">
        <v>3757</v>
      </c>
      <c r="D179" s="58">
        <v>-3</v>
      </c>
      <c r="F179" s="236" t="s">
        <v>1196</v>
      </c>
      <c r="G179" s="236" t="s">
        <v>3142</v>
      </c>
      <c r="H179" t="s">
        <v>1005</v>
      </c>
      <c r="I179" t="s">
        <v>3126</v>
      </c>
    </row>
    <row r="180" spans="1:9" ht="34.200000000000003" customHeight="1" x14ac:dyDescent="0.3">
      <c r="A180" s="240" t="s">
        <v>4996</v>
      </c>
      <c r="B180" s="240" t="str">
        <f>A180</f>
        <v>Sang pâle</v>
      </c>
      <c r="C180" s="58" t="s">
        <v>3758</v>
      </c>
      <c r="D180" s="58">
        <v>-1</v>
      </c>
      <c r="F180" s="236" t="s">
        <v>4998</v>
      </c>
      <c r="G180" s="236" t="s">
        <v>4997</v>
      </c>
      <c r="H180" t="s">
        <v>4999</v>
      </c>
      <c r="I180" s="239" t="s">
        <v>3168</v>
      </c>
    </row>
    <row r="181" spans="1:9" ht="22.5" customHeight="1" x14ac:dyDescent="0.3">
      <c r="A181" s="240" t="s">
        <v>1413</v>
      </c>
      <c r="B181" s="240" t="str">
        <f>IF(EthniePerso="Canadien","Sang refroidi","")</f>
        <v/>
      </c>
      <c r="C181" s="58" t="s">
        <v>3758</v>
      </c>
      <c r="D181" s="58">
        <v>-2</v>
      </c>
      <c r="E181" s="65" t="s">
        <v>302</v>
      </c>
      <c r="F181" s="236" t="s">
        <v>1197</v>
      </c>
      <c r="G181" s="236" t="s">
        <v>3593</v>
      </c>
      <c r="H181" t="s">
        <v>1017</v>
      </c>
      <c r="I181" s="239" t="s">
        <v>3168</v>
      </c>
    </row>
    <row r="182" spans="1:9" ht="22.5" customHeight="1" x14ac:dyDescent="0.3">
      <c r="A182" s="240" t="s">
        <v>254</v>
      </c>
      <c r="B182" s="240" t="str">
        <f>A182</f>
        <v>Serment (peu contraignant)</v>
      </c>
      <c r="C182" s="58" t="s">
        <v>3758</v>
      </c>
      <c r="D182" s="58">
        <v>-1</v>
      </c>
      <c r="F182" s="236" t="s">
        <v>1198</v>
      </c>
      <c r="G182" s="236" t="s">
        <v>1198</v>
      </c>
      <c r="H182" t="s">
        <v>1005</v>
      </c>
      <c r="I182" t="s">
        <v>3126</v>
      </c>
    </row>
    <row r="183" spans="1:9" ht="22.5" customHeight="1" x14ac:dyDescent="0.3">
      <c r="A183" s="240" t="s">
        <v>255</v>
      </c>
      <c r="B183" s="240" t="str">
        <f t="shared" ref="B183:B197" si="11">A183</f>
        <v>Serment  (contraignant)</v>
      </c>
      <c r="C183" s="58" t="s">
        <v>3758</v>
      </c>
      <c r="D183" s="58">
        <v>-2</v>
      </c>
      <c r="F183" s="236" t="s">
        <v>1198</v>
      </c>
      <c r="G183" s="236" t="s">
        <v>1198</v>
      </c>
      <c r="H183" t="s">
        <v>1005</v>
      </c>
      <c r="I183" t="s">
        <v>3126</v>
      </c>
    </row>
    <row r="184" spans="1:9" ht="22.5" customHeight="1" x14ac:dyDescent="0.3">
      <c r="A184" s="240" t="s">
        <v>256</v>
      </c>
      <c r="B184" s="240" t="str">
        <f t="shared" si="11"/>
        <v>Serment (très contraignant)</v>
      </c>
      <c r="C184" s="58" t="s">
        <v>3757</v>
      </c>
      <c r="D184" s="58">
        <v>-3</v>
      </c>
      <c r="F184" s="236" t="s">
        <v>1198</v>
      </c>
      <c r="G184" s="236" t="s">
        <v>1198</v>
      </c>
      <c r="H184" t="s">
        <v>1005</v>
      </c>
      <c r="I184" t="s">
        <v>3126</v>
      </c>
    </row>
    <row r="185" spans="1:9" ht="22.5" customHeight="1" x14ac:dyDescent="0.3">
      <c r="A185" s="240" t="s">
        <v>257</v>
      </c>
      <c r="B185" s="240" t="str">
        <f t="shared" si="11"/>
        <v>Serment (très dérangeant)</v>
      </c>
      <c r="C185" s="58" t="s">
        <v>3757</v>
      </c>
      <c r="D185" s="58">
        <v>-4</v>
      </c>
      <c r="F185" s="236" t="s">
        <v>1198</v>
      </c>
      <c r="G185" s="236" t="s">
        <v>1198</v>
      </c>
      <c r="H185" t="s">
        <v>1005</v>
      </c>
      <c r="I185" t="s">
        <v>3126</v>
      </c>
    </row>
    <row r="186" spans="1:9" ht="22.5" customHeight="1" x14ac:dyDescent="0.3">
      <c r="A186" s="240" t="s">
        <v>258</v>
      </c>
      <c r="B186" s="240" t="str">
        <f t="shared" si="11"/>
        <v>Serment (mortel)</v>
      </c>
      <c r="C186" s="58" t="s">
        <v>3757</v>
      </c>
      <c r="D186" s="58">
        <v>-5</v>
      </c>
      <c r="F186" s="236" t="s">
        <v>1198</v>
      </c>
      <c r="G186" s="236" t="s">
        <v>1198</v>
      </c>
      <c r="H186" t="s">
        <v>1005</v>
      </c>
      <c r="I186" t="s">
        <v>3126</v>
      </c>
    </row>
    <row r="187" spans="1:9" ht="22.5" customHeight="1" x14ac:dyDescent="0.3">
      <c r="A187" s="240" t="s">
        <v>259</v>
      </c>
      <c r="B187" s="240" t="str">
        <f t="shared" si="11"/>
        <v>Sifu! Sifu! (rarement)</v>
      </c>
      <c r="C187" s="58" t="s">
        <v>3758</v>
      </c>
      <c r="D187" s="58">
        <v>-2</v>
      </c>
      <c r="F187" s="236" t="s">
        <v>1199</v>
      </c>
      <c r="G187" s="236" t="s">
        <v>1199</v>
      </c>
      <c r="H187" t="s">
        <v>1006</v>
      </c>
      <c r="I187" s="239" t="s">
        <v>3168</v>
      </c>
    </row>
    <row r="188" spans="1:9" ht="22.5" customHeight="1" x14ac:dyDescent="0.3">
      <c r="A188" s="240" t="s">
        <v>261</v>
      </c>
      <c r="B188" s="240" t="str">
        <f t="shared" si="11"/>
        <v>Sifu! Sifu!</v>
      </c>
      <c r="C188" s="58" t="s">
        <v>3757</v>
      </c>
      <c r="D188" s="58">
        <v>-3</v>
      </c>
      <c r="F188" s="236" t="s">
        <v>1199</v>
      </c>
      <c r="G188" s="236" t="s">
        <v>1199</v>
      </c>
      <c r="H188" t="s">
        <v>1006</v>
      </c>
      <c r="I188" s="239" t="s">
        <v>3168</v>
      </c>
    </row>
    <row r="189" spans="1:9" ht="22.5" customHeight="1" x14ac:dyDescent="0.3">
      <c r="A189" s="240" t="s">
        <v>260</v>
      </c>
      <c r="B189" s="240" t="str">
        <f t="shared" si="11"/>
        <v>Sifu! Sifu! (constamment)</v>
      </c>
      <c r="C189" s="58" t="s">
        <v>3757</v>
      </c>
      <c r="D189" s="58">
        <v>-4</v>
      </c>
      <c r="F189" s="236" t="s">
        <v>1199</v>
      </c>
      <c r="G189" s="236" t="s">
        <v>1199</v>
      </c>
      <c r="H189" t="s">
        <v>1006</v>
      </c>
      <c r="I189" s="239" t="s">
        <v>3168</v>
      </c>
    </row>
    <row r="190" spans="1:9" ht="22.5" customHeight="1" x14ac:dyDescent="0.3">
      <c r="A190" s="240" t="s">
        <v>4510</v>
      </c>
      <c r="B190" s="240" t="str">
        <f t="shared" si="11"/>
        <v>Souillure/ Dépravation</v>
      </c>
      <c r="C190" s="58" t="s">
        <v>3758</v>
      </c>
      <c r="D190" s="58">
        <v>-1</v>
      </c>
      <c r="F190" s="236" t="s">
        <v>4635</v>
      </c>
      <c r="G190" s="236" t="s">
        <v>4635</v>
      </c>
      <c r="H190" s="239" t="s">
        <v>3168</v>
      </c>
      <c r="I190" s="239" t="s">
        <v>3168</v>
      </c>
    </row>
    <row r="191" spans="1:9" ht="22.5" customHeight="1" x14ac:dyDescent="0.3">
      <c r="A191" s="240" t="str">
        <f>IF(OR('Perso Classic'!$C$6="Féminin",SexePerso="Féminin"),"Sourde (Dure de la feuille))","Sourd (Dur de la feuille)")</f>
        <v>Sourd (Dur de la feuille)</v>
      </c>
      <c r="B191" s="240" t="str">
        <f t="shared" si="11"/>
        <v>Sourd (Dur de la feuille)</v>
      </c>
      <c r="C191" s="58" t="s">
        <v>3758</v>
      </c>
      <c r="D191" s="58">
        <v>-3</v>
      </c>
      <c r="F191" s="236" t="s">
        <v>1200</v>
      </c>
      <c r="G191" s="237" t="s">
        <v>3100</v>
      </c>
      <c r="H191" t="s">
        <v>1005</v>
      </c>
      <c r="I191" t="s">
        <v>3087</v>
      </c>
    </row>
    <row r="192" spans="1:9" ht="22.5" customHeight="1" x14ac:dyDescent="0.3">
      <c r="A192" s="240" t="str">
        <f>IF(OR('Perso Classic'!$C$6="Féminin",SexePerso="Féminin"),"Sourde (Sourde comme un pot))","Sourd (Sourd comme un pot)")</f>
        <v>Sourd (Sourd comme un pot)</v>
      </c>
      <c r="B192" s="240" t="str">
        <f t="shared" si="11"/>
        <v>Sourd (Sourd comme un pot)</v>
      </c>
      <c r="C192" s="58" t="s">
        <v>3757</v>
      </c>
      <c r="D192" s="58">
        <v>-5</v>
      </c>
      <c r="F192" s="236" t="s">
        <v>1201</v>
      </c>
      <c r="G192" s="236" t="s">
        <v>3101</v>
      </c>
      <c r="H192" t="s">
        <v>1005</v>
      </c>
      <c r="I192" t="s">
        <v>3087</v>
      </c>
    </row>
    <row r="193" spans="1:9" ht="22.5" customHeight="1" x14ac:dyDescent="0.3">
      <c r="A193" s="240" t="str">
        <f>IF(OR('Perso Classic'!$C$6="Féminin",SexePerso="Féminin"),"Supersticieuse","Supersticieux")</f>
        <v>Supersticieux</v>
      </c>
      <c r="B193" s="240" t="str">
        <f t="shared" si="11"/>
        <v>Supersticieux</v>
      </c>
      <c r="C193" s="58" t="s">
        <v>3758</v>
      </c>
      <c r="D193" s="58">
        <v>-2</v>
      </c>
      <c r="F193" s="236" t="s">
        <v>1202</v>
      </c>
      <c r="G193" s="236" t="s">
        <v>1202</v>
      </c>
      <c r="H193" t="s">
        <v>1005</v>
      </c>
      <c r="I193" s="239" t="s">
        <v>3168</v>
      </c>
    </row>
    <row r="194" spans="1:9" ht="22.5" customHeight="1" x14ac:dyDescent="0.3">
      <c r="A194" s="240" t="s">
        <v>3658</v>
      </c>
      <c r="B194" s="240" t="str">
        <f t="shared" si="11"/>
        <v>Terreurs Nocturnes/Mauvais Rêves</v>
      </c>
      <c r="C194" s="58" t="s">
        <v>3757</v>
      </c>
      <c r="D194" s="58">
        <v>-5</v>
      </c>
      <c r="F194" s="236" t="s">
        <v>1203</v>
      </c>
      <c r="G194" s="236" t="s">
        <v>3112</v>
      </c>
      <c r="H194" t="s">
        <v>1005</v>
      </c>
      <c r="I194" t="s">
        <v>3107</v>
      </c>
    </row>
    <row r="195" spans="1:9" ht="22.5" customHeight="1" x14ac:dyDescent="0.3">
      <c r="A195" s="240" t="str">
        <f>IF(OR('Perso Classic'!$C$6="Féminin",SexePerso="Féminin"),"Tétue","Tétu")</f>
        <v>Tétu</v>
      </c>
      <c r="B195" s="240" t="str">
        <f t="shared" si="11"/>
        <v>Tétu</v>
      </c>
      <c r="C195" s="58" t="s">
        <v>3758</v>
      </c>
      <c r="D195" s="58">
        <v>-2</v>
      </c>
      <c r="F195" s="236" t="s">
        <v>1204</v>
      </c>
      <c r="G195" s="236" t="s">
        <v>3151</v>
      </c>
      <c r="H195" t="s">
        <v>1005</v>
      </c>
      <c r="I195" t="s">
        <v>3147</v>
      </c>
    </row>
    <row r="196" spans="1:9" ht="22.5" customHeight="1" x14ac:dyDescent="0.3">
      <c r="A196" s="240" t="s">
        <v>3659</v>
      </c>
      <c r="B196" s="240" t="str">
        <f t="shared" si="11"/>
        <v>Thomas l'incrédule/Sceptique</v>
      </c>
      <c r="C196" s="58" t="s">
        <v>3758</v>
      </c>
      <c r="D196" s="58">
        <v>-3</v>
      </c>
      <c r="F196" s="236" t="s">
        <v>1205</v>
      </c>
      <c r="G196" s="236" t="s">
        <v>3144</v>
      </c>
      <c r="H196" t="s">
        <v>1090</v>
      </c>
      <c r="I196" t="s">
        <v>3147</v>
      </c>
    </row>
    <row r="197" spans="1:9" ht="22.5" customHeight="1" x14ac:dyDescent="0.3">
      <c r="A197" s="240" t="s">
        <v>3660</v>
      </c>
      <c r="B197" s="240" t="str">
        <f t="shared" si="11"/>
        <v>Tourments (Spleen passager)</v>
      </c>
      <c r="C197" s="58" t="s">
        <v>3758</v>
      </c>
      <c r="D197" s="58">
        <v>-1</v>
      </c>
      <c r="F197" s="236" t="s">
        <v>3612</v>
      </c>
      <c r="G197" s="236" t="s">
        <v>3616</v>
      </c>
      <c r="H197" t="s">
        <v>1102</v>
      </c>
      <c r="I197" s="239" t="s">
        <v>3168</v>
      </c>
    </row>
    <row r="198" spans="1:9" ht="22.5" customHeight="1" x14ac:dyDescent="0.3">
      <c r="A198" s="240" t="s">
        <v>3661</v>
      </c>
      <c r="B198" s="240" t="str">
        <f>IF(Calc!U93=TRUE,"Tourments (Spleen régulier)","")</f>
        <v/>
      </c>
      <c r="C198" s="58" t="s">
        <v>3758</v>
      </c>
      <c r="D198" s="58">
        <v>-2</v>
      </c>
      <c r="E198" s="65" t="s">
        <v>1160</v>
      </c>
      <c r="F198" s="236" t="s">
        <v>3613</v>
      </c>
      <c r="G198" s="236" t="s">
        <v>3617</v>
      </c>
      <c r="H198" t="s">
        <v>1102</v>
      </c>
      <c r="I198" s="239" t="s">
        <v>3168</v>
      </c>
    </row>
    <row r="199" spans="1:9" ht="22.5" customHeight="1" x14ac:dyDescent="0.3">
      <c r="A199" s="240" t="s">
        <v>4943</v>
      </c>
      <c r="B199" s="240" t="str">
        <f>IF(Calc!U93=TRUE,"Tourments (Spleen ambarassant)","")</f>
        <v/>
      </c>
      <c r="C199" s="58" t="s">
        <v>3757</v>
      </c>
      <c r="D199" s="58">
        <v>-3</v>
      </c>
      <c r="E199" s="65" t="s">
        <v>1160</v>
      </c>
      <c r="F199" s="236" t="s">
        <v>3614</v>
      </c>
      <c r="G199" s="236" t="s">
        <v>3618</v>
      </c>
      <c r="H199" t="s">
        <v>1102</v>
      </c>
      <c r="I199" s="239" t="s">
        <v>3168</v>
      </c>
    </row>
    <row r="200" spans="1:9" ht="22.5" customHeight="1" x14ac:dyDescent="0.3">
      <c r="A200" s="240" t="s">
        <v>3663</v>
      </c>
      <c r="B200" s="240" t="str">
        <f>IF(Calc!U93=TRUE,"Tourments (Dépressif)","")</f>
        <v/>
      </c>
      <c r="C200" s="58" t="s">
        <v>3757</v>
      </c>
      <c r="D200" s="58">
        <v>-4</v>
      </c>
      <c r="E200" s="65" t="s">
        <v>1160</v>
      </c>
      <c r="F200" s="236" t="s">
        <v>3615</v>
      </c>
      <c r="G200" s="236" t="s">
        <v>3619</v>
      </c>
      <c r="H200" t="s">
        <v>1102</v>
      </c>
      <c r="I200" s="239" t="s">
        <v>3168</v>
      </c>
    </row>
    <row r="201" spans="1:9" ht="22.5" customHeight="1" x14ac:dyDescent="0.3">
      <c r="A201" s="240" t="s">
        <v>3664</v>
      </c>
      <c r="B201" s="240" t="str">
        <f>IF(Calc!U93=TRUE,"Tourments (Dépressif grave)","")</f>
        <v/>
      </c>
      <c r="C201" s="58" t="s">
        <v>3757</v>
      </c>
      <c r="D201" s="58">
        <v>-5</v>
      </c>
      <c r="E201" s="65" t="s">
        <v>1160</v>
      </c>
      <c r="F201" s="236" t="s">
        <v>3611</v>
      </c>
      <c r="G201" s="236" t="s">
        <v>3620</v>
      </c>
      <c r="H201" t="s">
        <v>1102</v>
      </c>
      <c r="I201" s="239" t="s">
        <v>3168</v>
      </c>
    </row>
    <row r="202" spans="1:9" ht="22.5" customHeight="1" x14ac:dyDescent="0.3">
      <c r="A202" s="240" t="s">
        <v>262</v>
      </c>
      <c r="B202" s="240" t="str">
        <f>IF(Arts_Martiaux=TRUE,"Vulnérabilité Spécifique (un style)","")</f>
        <v/>
      </c>
      <c r="C202" s="58" t="s">
        <v>3758</v>
      </c>
      <c r="D202" s="58">
        <v>-1</v>
      </c>
      <c r="E202" s="65" t="s">
        <v>119</v>
      </c>
      <c r="F202" s="236" t="s">
        <v>3608</v>
      </c>
      <c r="G202" s="236" t="s">
        <v>3607</v>
      </c>
      <c r="H202" t="s">
        <v>1207</v>
      </c>
      <c r="I202" s="239" t="s">
        <v>3168</v>
      </c>
    </row>
    <row r="203" spans="1:9" ht="22.5" customHeight="1" x14ac:dyDescent="0.3">
      <c r="A203" s="67" t="s">
        <v>3665</v>
      </c>
      <c r="B203" s="240" t="str">
        <f>IF(Arts_Martiaux=TRUE,"Vulnérabilité Spécifique (deux styles ou un style fort)","")</f>
        <v/>
      </c>
      <c r="C203" s="58" t="s">
        <v>3758</v>
      </c>
      <c r="D203" s="58">
        <v>-2</v>
      </c>
      <c r="E203" s="65" t="s">
        <v>119</v>
      </c>
      <c r="F203" s="236" t="s">
        <v>1206</v>
      </c>
      <c r="G203" s="236" t="s">
        <v>3609</v>
      </c>
      <c r="H203" t="s">
        <v>1207</v>
      </c>
      <c r="I203" s="239" t="s">
        <v>3168</v>
      </c>
    </row>
    <row r="204" spans="1:9" ht="22.5" customHeight="1" x14ac:dyDescent="0.3">
      <c r="A204" s="67" t="s">
        <v>3666</v>
      </c>
      <c r="B204" s="240" t="str">
        <f>IF(Arts_Martiaux=TRUE,"Vulnérabilité Spécifique (trois styles ou un style très fort)","")</f>
        <v/>
      </c>
      <c r="C204" s="58" t="s">
        <v>3757</v>
      </c>
      <c r="D204" s="58">
        <v>-3</v>
      </c>
      <c r="E204" s="65" t="s">
        <v>119</v>
      </c>
      <c r="F204" s="236" t="s">
        <v>1206</v>
      </c>
      <c r="G204" s="236" t="s">
        <v>3610</v>
      </c>
      <c r="H204" t="s">
        <v>1207</v>
      </c>
      <c r="I204" s="239" t="s">
        <v>3168</v>
      </c>
    </row>
    <row r="205" spans="1:9" ht="22.5" customHeight="1" x14ac:dyDescent="0.3">
      <c r="A205" s="240" t="str">
        <f>IF(OR('Perso Classic'!$C$6="Féminin",SexePerso="Féminin"),"Whitegirl","Whiteboy")</f>
        <v>Whiteboy</v>
      </c>
      <c r="B205" s="240" t="str">
        <f>A205</f>
        <v>Whiteboy</v>
      </c>
      <c r="C205" s="58" t="s">
        <v>3758</v>
      </c>
      <c r="D205" s="58">
        <v>-2</v>
      </c>
      <c r="E205" s="65" t="s">
        <v>302</v>
      </c>
      <c r="F205" s="236" t="s">
        <v>1208</v>
      </c>
      <c r="G205" s="236" t="s">
        <v>1208</v>
      </c>
      <c r="H205" t="s">
        <v>1017</v>
      </c>
      <c r="I205" s="239" t="s">
        <v>3168</v>
      </c>
    </row>
    <row r="206" spans="1:9" ht="22.5" customHeight="1" x14ac:dyDescent="0.3">
      <c r="A206" s="240" t="s">
        <v>1414</v>
      </c>
      <c r="B206" s="240" t="s">
        <v>1414</v>
      </c>
      <c r="C206" s="58" t="s">
        <v>3758</v>
      </c>
      <c r="D206" s="58">
        <v>-1</v>
      </c>
      <c r="F206" s="236" t="s">
        <v>4944</v>
      </c>
      <c r="G206" s="236" t="s">
        <v>4945</v>
      </c>
      <c r="H206" t="s">
        <v>1017</v>
      </c>
      <c r="I206" s="239" t="s">
        <v>3168</v>
      </c>
    </row>
  </sheetData>
  <phoneticPr fontId="87" type="noConversion"/>
  <dataValidations count="1">
    <dataValidation type="list" allowBlank="1" showInputMessage="1" showErrorMessage="1" sqref="C2:C1048576" xr:uid="{00000000-0002-0000-0B00-000000000000}">
      <formula1>Majmin</formula1>
    </dataValidation>
  </dataValidation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dimension ref="A1:CE214"/>
  <sheetViews>
    <sheetView workbookViewId="0">
      <pane ySplit="2" topLeftCell="A3" activePane="bottomLeft" state="frozen"/>
      <selection pane="bottomLeft" activeCell="AM59" sqref="AM59"/>
    </sheetView>
  </sheetViews>
  <sheetFormatPr baseColWidth="10" defaultRowHeight="14.4" x14ac:dyDescent="0.3"/>
  <cols>
    <col min="1" max="1" width="6.33203125" style="217" customWidth="1"/>
    <col min="2" max="2" width="4.109375" customWidth="1"/>
    <col min="3" max="3" width="16.44140625" customWidth="1"/>
    <col min="4" max="4" width="3" customWidth="1"/>
    <col min="5" max="5" width="2" customWidth="1"/>
    <col min="6" max="6" width="8.6640625" customWidth="1"/>
    <col min="7" max="8" width="13.33203125" customWidth="1"/>
    <col min="9" max="9" width="8.5546875" customWidth="1"/>
    <col min="11" max="11" width="14.6640625" customWidth="1"/>
    <col min="12" max="12" width="2.44140625" customWidth="1"/>
    <col min="13" max="13" width="18.44140625" customWidth="1"/>
    <col min="14" max="14" width="17.88671875" customWidth="1"/>
    <col min="15" max="15" width="15.88671875" customWidth="1"/>
    <col min="16" max="16" width="13.5546875" customWidth="1"/>
    <col min="17" max="17" width="7.33203125" customWidth="1"/>
    <col min="18" max="18" width="7.109375" style="53" customWidth="1"/>
    <col min="19" max="19" width="4.44140625" style="53" customWidth="1"/>
    <col min="20" max="20" width="13.88671875" customWidth="1"/>
    <col min="21" max="21" width="12.6640625" customWidth="1"/>
    <col min="22" max="22" width="5" customWidth="1"/>
    <col min="23" max="23" width="6.88671875" customWidth="1"/>
    <col min="24" max="24" width="13.6640625" customWidth="1"/>
    <col min="25" max="25" width="13" customWidth="1"/>
    <col min="26" max="26" width="7.5546875" customWidth="1"/>
    <col min="27" max="27" width="12.33203125" customWidth="1"/>
    <col min="28" max="28" width="23.5546875" customWidth="1"/>
    <col min="29" max="29" width="24.6640625" customWidth="1"/>
    <col min="30" max="30" width="12.5546875" style="53" customWidth="1"/>
    <col min="32" max="32" width="11.5546875" style="53"/>
    <col min="33" max="33" width="35.6640625" customWidth="1"/>
    <col min="36" max="36" width="13.88671875" customWidth="1"/>
    <col min="37" max="37" width="14" customWidth="1"/>
    <col min="38" max="38" width="38.5546875" customWidth="1"/>
    <col min="39" max="39" width="22.33203125" customWidth="1"/>
    <col min="40" max="40" width="15.44140625" customWidth="1"/>
    <col min="41" max="41" width="12.88671875" customWidth="1"/>
    <col min="42" max="42" width="14.6640625" style="53" customWidth="1"/>
    <col min="43" max="43" width="17.33203125" style="111" customWidth="1"/>
    <col min="44" max="44" width="11.5546875" style="53"/>
    <col min="46" max="46" width="13" style="53" customWidth="1"/>
    <col min="50" max="50" width="11.5546875" style="111"/>
    <col min="51" max="51" width="13.88671875" customWidth="1"/>
    <col min="52" max="52" width="13.88671875" style="53" customWidth="1"/>
    <col min="53" max="53" width="13.88671875" customWidth="1"/>
    <col min="54" max="54" width="17.5546875" customWidth="1"/>
    <col min="55" max="55" width="14.5546875" customWidth="1"/>
    <col min="56" max="56" width="14.5546875" style="53" customWidth="1"/>
    <col min="57" max="60" width="15.5546875" style="53" customWidth="1"/>
    <col min="61" max="61" width="18.109375" style="53" customWidth="1"/>
    <col min="62" max="62" width="15" customWidth="1"/>
    <col min="63" max="63" width="9" style="53" customWidth="1"/>
    <col min="64" max="64" width="21.33203125" customWidth="1"/>
    <col min="65" max="65" width="9.6640625" style="180" customWidth="1"/>
    <col min="66" max="66" width="37.6640625" customWidth="1"/>
    <col min="67" max="67" width="117.33203125" style="65" customWidth="1"/>
    <col min="68" max="68" width="14" style="53" customWidth="1"/>
    <col min="70" max="70" width="12.5546875" style="53" customWidth="1"/>
    <col min="71" max="71" width="2.5546875" customWidth="1"/>
    <col min="72" max="72" width="10.88671875" customWidth="1"/>
    <col min="73" max="73" width="6.88671875" style="53" customWidth="1"/>
    <col min="74" max="74" width="19.6640625" style="343" customWidth="1"/>
    <col min="75" max="75" width="12.88671875" style="343" customWidth="1"/>
    <col min="76" max="76" width="14.33203125" customWidth="1"/>
    <col min="77" max="77" width="9.88671875" customWidth="1"/>
    <col min="79" max="79" width="7" customWidth="1"/>
    <col min="80" max="80" width="21.6640625" style="53" customWidth="1"/>
    <col min="81" max="81" width="12.44140625" customWidth="1"/>
    <col min="82" max="82" width="13.33203125" customWidth="1"/>
    <col min="83" max="83" width="6.109375" style="53" customWidth="1"/>
  </cols>
  <sheetData>
    <row r="1" spans="1:83" ht="15" thickBot="1" x14ac:dyDescent="0.35">
      <c r="A1" s="671" t="s">
        <v>2976</v>
      </c>
      <c r="B1" s="672"/>
      <c r="C1" s="672"/>
      <c r="D1" s="672"/>
      <c r="E1" s="673"/>
      <c r="F1" s="139" t="s">
        <v>2919</v>
      </c>
      <c r="G1" s="148" t="s">
        <v>2917</v>
      </c>
      <c r="H1" s="148" t="s">
        <v>2918</v>
      </c>
      <c r="I1" s="148" t="s">
        <v>2093</v>
      </c>
      <c r="J1" s="54" t="s">
        <v>1177</v>
      </c>
      <c r="K1" s="54" t="s">
        <v>1310</v>
      </c>
      <c r="L1" s="54"/>
      <c r="M1" s="139" t="s">
        <v>1366</v>
      </c>
      <c r="N1" s="148" t="s">
        <v>999</v>
      </c>
      <c r="O1" s="148" t="s">
        <v>100</v>
      </c>
      <c r="P1" s="148" t="s">
        <v>1875</v>
      </c>
      <c r="Q1" s="141" t="s">
        <v>1542</v>
      </c>
      <c r="R1" s="141" t="s">
        <v>1544</v>
      </c>
      <c r="S1" s="140" t="s">
        <v>8</v>
      </c>
      <c r="T1" s="928" t="s">
        <v>152</v>
      </c>
      <c r="U1" s="928"/>
      <c r="V1" s="928"/>
      <c r="W1" s="928"/>
      <c r="X1" s="928"/>
      <c r="Y1" s="928"/>
      <c r="Z1" s="928"/>
      <c r="AA1" s="928"/>
      <c r="AB1" s="928"/>
      <c r="AC1" s="928"/>
      <c r="AD1" s="928"/>
      <c r="AE1" s="928" t="s">
        <v>11</v>
      </c>
      <c r="AF1" s="928"/>
      <c r="AG1" s="671" t="s">
        <v>21</v>
      </c>
      <c r="AH1" s="672"/>
      <c r="AI1" s="672"/>
      <c r="AJ1" s="672"/>
      <c r="AK1" s="672"/>
      <c r="AL1" s="672"/>
      <c r="AM1" s="672"/>
      <c r="AN1" s="672"/>
      <c r="AO1" s="672"/>
      <c r="AP1" s="673"/>
      <c r="AQ1" s="671" t="s">
        <v>12</v>
      </c>
      <c r="AR1" s="673"/>
      <c r="AS1" s="928" t="s">
        <v>13</v>
      </c>
      <c r="AT1" s="928"/>
      <c r="AU1" s="671" t="s">
        <v>14</v>
      </c>
      <c r="AV1" s="672"/>
      <c r="AW1" s="673"/>
      <c r="AX1" s="671" t="s">
        <v>15</v>
      </c>
      <c r="AY1" s="672"/>
      <c r="AZ1" s="673"/>
      <c r="BA1" s="241"/>
      <c r="BB1" s="731" t="s">
        <v>16</v>
      </c>
      <c r="BC1" s="731"/>
      <c r="BD1" s="585"/>
      <c r="BE1" s="54" t="s">
        <v>17</v>
      </c>
      <c r="BF1" s="671" t="s">
        <v>3912</v>
      </c>
      <c r="BG1" s="672"/>
      <c r="BH1" s="673"/>
      <c r="BI1" s="54" t="s">
        <v>2094</v>
      </c>
      <c r="BJ1" s="929" t="s">
        <v>3046</v>
      </c>
      <c r="BK1" s="930"/>
      <c r="BL1" s="671" t="s">
        <v>2245</v>
      </c>
      <c r="BM1" s="673"/>
      <c r="BN1" s="671" t="s">
        <v>2334</v>
      </c>
      <c r="BO1" s="672"/>
      <c r="BP1" s="673"/>
      <c r="BQ1" t="s">
        <v>3066</v>
      </c>
      <c r="BR1" t="s">
        <v>3154</v>
      </c>
      <c r="BS1" s="729" t="s">
        <v>3156</v>
      </c>
      <c r="BT1" s="552"/>
      <c r="BU1" s="53" t="s">
        <v>1234</v>
      </c>
      <c r="BV1" s="343" t="s">
        <v>3519</v>
      </c>
      <c r="BW1" s="360" t="s">
        <v>3693</v>
      </c>
      <c r="BX1" s="729" t="s">
        <v>4242</v>
      </c>
      <c r="BY1" s="552"/>
      <c r="BZ1" s="552"/>
      <c r="CA1" s="552"/>
      <c r="CB1" s="927"/>
      <c r="CC1" s="729" t="s">
        <v>4149</v>
      </c>
      <c r="CD1" s="552"/>
      <c r="CE1" s="927"/>
    </row>
    <row r="2" spans="1:83" s="201" customFormat="1" x14ac:dyDescent="0.3">
      <c r="A2" s="218"/>
      <c r="I2" s="201" t="s">
        <v>2092</v>
      </c>
      <c r="J2" s="201" t="s">
        <v>1177</v>
      </c>
      <c r="K2" s="201" t="s">
        <v>581</v>
      </c>
      <c r="L2" s="202">
        <v>1</v>
      </c>
      <c r="M2" s="203" t="s">
        <v>532</v>
      </c>
      <c r="N2" s="201" t="s">
        <v>999</v>
      </c>
      <c r="O2" s="201" t="s">
        <v>1922</v>
      </c>
      <c r="P2" s="203"/>
      <c r="Q2" s="201" t="s">
        <v>8</v>
      </c>
      <c r="R2" s="204" t="s">
        <v>8</v>
      </c>
      <c r="S2" s="204" t="s">
        <v>8</v>
      </c>
      <c r="T2" s="201" t="s">
        <v>1</v>
      </c>
      <c r="U2" s="201" t="s">
        <v>4</v>
      </c>
      <c r="V2" s="201" t="s">
        <v>3</v>
      </c>
      <c r="W2" s="201" t="s">
        <v>356</v>
      </c>
      <c r="X2" s="201" t="s">
        <v>1495</v>
      </c>
      <c r="Y2" s="201" t="s">
        <v>5</v>
      </c>
      <c r="Z2" s="201" t="s">
        <v>2</v>
      </c>
      <c r="AA2" s="201" t="s">
        <v>299</v>
      </c>
      <c r="AB2" s="201" t="s">
        <v>309</v>
      </c>
      <c r="AC2" s="201" t="s">
        <v>1899</v>
      </c>
      <c r="AD2" s="204" t="s">
        <v>7</v>
      </c>
      <c r="AE2" s="201" t="s">
        <v>68</v>
      </c>
      <c r="AF2" s="204" t="s">
        <v>69</v>
      </c>
      <c r="AG2" s="201" t="s">
        <v>29</v>
      </c>
      <c r="AH2" s="201" t="s">
        <v>28</v>
      </c>
      <c r="AI2" s="201" t="s">
        <v>30</v>
      </c>
      <c r="AJ2" s="201" t="s">
        <v>2427</v>
      </c>
      <c r="AK2" s="201" t="s">
        <v>33</v>
      </c>
      <c r="AL2" s="201" t="s">
        <v>90</v>
      </c>
      <c r="AN2" s="201" t="s">
        <v>2464</v>
      </c>
      <c r="AO2" s="201" t="s">
        <v>34</v>
      </c>
      <c r="AP2" s="204" t="s">
        <v>35</v>
      </c>
      <c r="AQ2" s="207" t="s">
        <v>40</v>
      </c>
      <c r="AR2" s="204" t="s">
        <v>41</v>
      </c>
      <c r="AS2" s="201" t="s">
        <v>70</v>
      </c>
      <c r="AT2" s="201" t="s">
        <v>71</v>
      </c>
      <c r="AU2" s="207" t="s">
        <v>151</v>
      </c>
      <c r="AV2" s="201" t="s">
        <v>1722</v>
      </c>
      <c r="AW2" s="201" t="s">
        <v>1723</v>
      </c>
      <c r="AX2" s="207" t="s">
        <v>54</v>
      </c>
      <c r="AY2" s="201" t="s">
        <v>55</v>
      </c>
      <c r="AZ2" s="204" t="s">
        <v>56</v>
      </c>
      <c r="BA2" s="201" t="s">
        <v>3428</v>
      </c>
      <c r="BB2" s="201" t="s">
        <v>63</v>
      </c>
      <c r="BC2" s="201" t="s">
        <v>64</v>
      </c>
      <c r="BD2" s="204" t="s">
        <v>3052</v>
      </c>
      <c r="BE2" s="204" t="s">
        <v>65</v>
      </c>
      <c r="BF2" s="204" t="s">
        <v>11</v>
      </c>
      <c r="BG2" s="204" t="s">
        <v>3927</v>
      </c>
      <c r="BH2" s="204" t="s">
        <v>58</v>
      </c>
      <c r="BI2" s="204" t="s">
        <v>2931</v>
      </c>
      <c r="BK2" s="204"/>
      <c r="BL2" s="201" t="s">
        <v>0</v>
      </c>
      <c r="BM2" s="205" t="s">
        <v>215</v>
      </c>
      <c r="BN2" s="201" t="s">
        <v>0</v>
      </c>
      <c r="BO2" s="206" t="s">
        <v>2335</v>
      </c>
      <c r="BP2" s="204" t="s">
        <v>215</v>
      </c>
      <c r="BQ2" s="201" t="s">
        <v>3757</v>
      </c>
      <c r="BR2" s="204" t="s">
        <v>3755</v>
      </c>
      <c r="BS2" s="201" t="s">
        <v>3754</v>
      </c>
      <c r="BT2" s="201" t="s">
        <v>3858</v>
      </c>
      <c r="BU2" s="204">
        <v>0</v>
      </c>
      <c r="BV2" s="344" t="s">
        <v>3523</v>
      </c>
      <c r="BW2" s="344" t="s">
        <v>3694</v>
      </c>
      <c r="BX2" s="201" t="s">
        <v>396</v>
      </c>
      <c r="BY2" s="201" t="s">
        <v>4244</v>
      </c>
      <c r="BZ2" s="201" t="s">
        <v>4245</v>
      </c>
      <c r="CA2" s="201" t="s">
        <v>4249</v>
      </c>
      <c r="CB2" s="204" t="s">
        <v>4246</v>
      </c>
      <c r="CC2" s="201" t="s">
        <v>4284</v>
      </c>
      <c r="CD2" s="201" t="s">
        <v>1555</v>
      </c>
      <c r="CE2" s="204" t="s">
        <v>356</v>
      </c>
    </row>
    <row r="3" spans="1:83" x14ac:dyDescent="0.3">
      <c r="A3" s="217">
        <v>2</v>
      </c>
      <c r="B3" t="s">
        <v>2971</v>
      </c>
      <c r="C3" t="s">
        <v>2991</v>
      </c>
      <c r="D3" t="s">
        <v>2968</v>
      </c>
      <c r="E3">
        <v>4</v>
      </c>
      <c r="F3" t="s">
        <v>2913</v>
      </c>
      <c r="G3" t="s">
        <v>2319</v>
      </c>
      <c r="H3" t="s">
        <v>13</v>
      </c>
      <c r="J3" t="str">
        <f>IF(SexePerso="Féminin","Droitière",IF('Perso Reloaded'!$C$6="Féminin","Droitière","Droitier"))</f>
        <v>Droitier</v>
      </c>
      <c r="K3" t="s">
        <v>921</v>
      </c>
      <c r="L3" s="2">
        <v>2</v>
      </c>
      <c r="M3" s="61" t="s">
        <v>1340</v>
      </c>
      <c r="N3" t="str">
        <f>IF(OR(Vérif_Détérré="X",'Aide à la création'!M23="X"),"Détérré","")</f>
        <v/>
      </c>
      <c r="O3" t="s">
        <v>1921</v>
      </c>
      <c r="P3" s="61">
        <v>1860</v>
      </c>
      <c r="Q3">
        <v>4</v>
      </c>
      <c r="R3" s="53">
        <v>4</v>
      </c>
      <c r="S3" s="53">
        <v>1</v>
      </c>
      <c r="T3" t="s">
        <v>153</v>
      </c>
      <c r="U3" t="s">
        <v>161</v>
      </c>
      <c r="V3">
        <v>6</v>
      </c>
      <c r="W3" t="s">
        <v>1490</v>
      </c>
      <c r="X3" t="str">
        <f>IF(halloween=TRUE,"","Capricorne")</f>
        <v>Capricorne</v>
      </c>
      <c r="Y3" t="s">
        <v>204</v>
      </c>
      <c r="Z3" t="s">
        <v>199</v>
      </c>
      <c r="AA3" t="s">
        <v>306</v>
      </c>
      <c r="AB3" s="55" t="s">
        <v>347</v>
      </c>
      <c r="AC3" s="55" t="s">
        <v>1917</v>
      </c>
      <c r="AD3" s="53" t="s">
        <v>210</v>
      </c>
      <c r="AE3" t="s">
        <v>72</v>
      </c>
      <c r="AF3" s="53" t="s">
        <v>76</v>
      </c>
      <c r="AG3" t="s">
        <v>1701</v>
      </c>
      <c r="AH3" t="s">
        <v>146</v>
      </c>
      <c r="AI3" t="s">
        <v>89</v>
      </c>
      <c r="AK3" t="s">
        <v>78</v>
      </c>
      <c r="AL3" t="str">
        <f>IF(SexePerso="Féminin","Actrice/ Comédienne",IF('Perso Reloaded'!$C$6="Féminin","Actrice/ Comédienne","Acteur/ Comédien"))</f>
        <v>Acteur/ Comédien</v>
      </c>
      <c r="AM3" t="s">
        <v>140</v>
      </c>
      <c r="AO3" t="s">
        <v>3924</v>
      </c>
      <c r="AP3" s="53" t="s">
        <v>4292</v>
      </c>
      <c r="AQ3" s="111" t="str">
        <f>IF(AnnéeJeu&gt;1880,"Babyfoot","")</f>
        <v/>
      </c>
      <c r="AR3" s="53" t="s">
        <v>97</v>
      </c>
      <c r="AS3" t="s">
        <v>100</v>
      </c>
      <c r="AT3" s="53" t="s">
        <v>102</v>
      </c>
      <c r="AX3" s="111" t="s">
        <v>1313</v>
      </c>
      <c r="AY3" t="s">
        <v>109</v>
      </c>
      <c r="AZ3" s="53" t="s">
        <v>109</v>
      </c>
      <c r="BB3" t="s">
        <v>119</v>
      </c>
      <c r="BC3" t="s">
        <v>127</v>
      </c>
      <c r="BE3" s="53" t="s">
        <v>109</v>
      </c>
      <c r="BF3" s="53" t="s">
        <v>23</v>
      </c>
      <c r="BG3" s="53" t="s">
        <v>3928</v>
      </c>
      <c r="BH3" s="53" t="s">
        <v>70</v>
      </c>
      <c r="BI3" s="53" t="s">
        <v>4505</v>
      </c>
      <c r="BJ3" t="s">
        <v>63</v>
      </c>
      <c r="BK3" s="53" t="s">
        <v>16</v>
      </c>
      <c r="BL3" t="s">
        <v>2246</v>
      </c>
      <c r="BM3" s="180" t="s">
        <v>2512</v>
      </c>
      <c r="BN3" t="s">
        <v>2431</v>
      </c>
      <c r="BO3" s="65" t="s">
        <v>2432</v>
      </c>
      <c r="BP3" s="53" t="s">
        <v>2429</v>
      </c>
      <c r="BQ3" t="s">
        <v>3758</v>
      </c>
      <c r="BR3" s="53" t="s">
        <v>3743</v>
      </c>
      <c r="BS3" t="s">
        <v>3751</v>
      </c>
      <c r="BT3" t="s">
        <v>3859</v>
      </c>
      <c r="BU3" s="53">
        <v>20</v>
      </c>
      <c r="BV3" s="343" t="s">
        <v>3522</v>
      </c>
      <c r="BW3" s="343" t="s">
        <v>3695</v>
      </c>
      <c r="BX3" t="s">
        <v>4252</v>
      </c>
      <c r="BY3">
        <v>0</v>
      </c>
      <c r="BZ3">
        <v>0</v>
      </c>
      <c r="CA3">
        <v>0</v>
      </c>
      <c r="CB3" s="53" t="s">
        <v>47</v>
      </c>
      <c r="CC3" t="s">
        <v>4281</v>
      </c>
      <c r="CD3" s="239" t="s">
        <v>4288</v>
      </c>
      <c r="CE3" s="53">
        <v>15</v>
      </c>
    </row>
    <row r="4" spans="1:83" x14ac:dyDescent="0.3">
      <c r="A4" s="217">
        <v>3</v>
      </c>
      <c r="B4" t="s">
        <v>2972</v>
      </c>
      <c r="C4" t="s">
        <v>2992</v>
      </c>
      <c r="D4" s="216" t="s">
        <v>2967</v>
      </c>
      <c r="E4">
        <v>3</v>
      </c>
      <c r="F4" t="s">
        <v>2916</v>
      </c>
      <c r="G4" t="s">
        <v>2320</v>
      </c>
      <c r="H4" t="s">
        <v>11</v>
      </c>
      <c r="J4" t="str">
        <f>IF(SexePerso="Féminin","Gauchère",IF('Perso Reloaded'!$C$6="Féminin","Gauchère","Gaucher"))</f>
        <v>Gaucher</v>
      </c>
      <c r="K4" t="s">
        <v>922</v>
      </c>
      <c r="L4" s="2">
        <v>3</v>
      </c>
      <c r="M4" s="61" t="s">
        <v>531</v>
      </c>
      <c r="N4" t="str">
        <f>IF(OR(Aztèque=TRUE,chaman=TRUE),"Faveurs","")</f>
        <v/>
      </c>
      <c r="O4" t="s">
        <v>1923</v>
      </c>
      <c r="P4" s="61">
        <v>1861</v>
      </c>
      <c r="Q4">
        <v>6</v>
      </c>
      <c r="R4" s="53">
        <v>6</v>
      </c>
      <c r="S4" s="53">
        <v>2</v>
      </c>
      <c r="T4" t="s">
        <v>154</v>
      </c>
      <c r="U4" t="s">
        <v>209</v>
      </c>
      <c r="V4">
        <v>7</v>
      </c>
      <c r="W4" t="s">
        <v>1491</v>
      </c>
      <c r="X4" t="str">
        <f>IF(OR(noël=TRUE,halloween=TRUE),"","Verseau")</f>
        <v>Verseau</v>
      </c>
      <c r="Y4" t="s">
        <v>205</v>
      </c>
      <c r="Z4" t="s">
        <v>198</v>
      </c>
      <c r="AA4" t="s">
        <v>88</v>
      </c>
      <c r="AB4" s="55" t="s">
        <v>346</v>
      </c>
      <c r="AC4" s="55" t="s">
        <v>1916</v>
      </c>
      <c r="AD4" s="53" t="s">
        <v>212</v>
      </c>
      <c r="AE4" t="s">
        <v>73</v>
      </c>
      <c r="AF4" s="53" t="s">
        <v>75</v>
      </c>
      <c r="AG4" t="s">
        <v>1687</v>
      </c>
      <c r="AH4" t="s">
        <v>140</v>
      </c>
      <c r="AI4" t="s">
        <v>82</v>
      </c>
      <c r="AK4" t="s">
        <v>79</v>
      </c>
      <c r="AL4" t="str">
        <f>IF(SexePerso="Féminin","Agitatrice/ Pamphlétaire",IF('Perso Reloaded'!$C$6="Féminin","Agitatrice/ Pamphlétaire","Agitateur/ Pamphlétaire"))</f>
        <v>Agitateur/ Pamphlétaire</v>
      </c>
      <c r="AM4" t="s">
        <v>4665</v>
      </c>
      <c r="AO4" t="s">
        <v>1286</v>
      </c>
      <c r="AP4" s="53" t="s">
        <v>3926</v>
      </c>
      <c r="AQ4" s="111" t="s">
        <v>3890</v>
      </c>
      <c r="AR4" s="53" t="s">
        <v>123</v>
      </c>
      <c r="AS4" t="s">
        <v>99</v>
      </c>
      <c r="AT4" s="53" t="s">
        <v>101</v>
      </c>
      <c r="AX4" s="111" t="s">
        <v>2848</v>
      </c>
      <c r="AY4" t="s">
        <v>111</v>
      </c>
      <c r="AZ4" s="53" t="s">
        <v>111</v>
      </c>
      <c r="BB4" t="s">
        <v>116</v>
      </c>
      <c r="BC4" t="s">
        <v>129</v>
      </c>
      <c r="BE4" s="53" t="s">
        <v>106</v>
      </c>
      <c r="BF4" s="53" t="s">
        <v>24</v>
      </c>
      <c r="BG4" s="53" t="s">
        <v>3929</v>
      </c>
      <c r="BH4" s="53" t="s">
        <v>3911</v>
      </c>
      <c r="BI4" s="53" t="s">
        <v>2932</v>
      </c>
      <c r="BJ4" t="s">
        <v>3047</v>
      </c>
      <c r="BK4" s="53" t="s">
        <v>16</v>
      </c>
      <c r="BL4" t="s">
        <v>2247</v>
      </c>
      <c r="BM4" s="180" t="s">
        <v>2512</v>
      </c>
      <c r="BN4" t="s">
        <v>2378</v>
      </c>
      <c r="BO4" s="66" t="s">
        <v>2382</v>
      </c>
      <c r="BP4" s="53" t="s">
        <v>2381</v>
      </c>
      <c r="BR4" s="53" t="s">
        <v>3744</v>
      </c>
      <c r="BS4" t="s">
        <v>3752</v>
      </c>
      <c r="BT4" t="s">
        <v>3860</v>
      </c>
      <c r="BU4" s="53">
        <v>40</v>
      </c>
      <c r="BV4" s="343" t="s">
        <v>3524</v>
      </c>
      <c r="BX4" t="s">
        <v>1070</v>
      </c>
      <c r="BY4">
        <v>0</v>
      </c>
      <c r="BZ4">
        <v>0</v>
      </c>
      <c r="CA4">
        <v>0</v>
      </c>
      <c r="CB4" s="53" t="s">
        <v>47</v>
      </c>
      <c r="CC4" t="s">
        <v>4289</v>
      </c>
      <c r="CD4" s="239" t="s">
        <v>1268</v>
      </c>
      <c r="CE4" s="53">
        <v>20</v>
      </c>
    </row>
    <row r="5" spans="1:83" x14ac:dyDescent="0.3">
      <c r="A5" s="217">
        <v>4</v>
      </c>
      <c r="B5" t="s">
        <v>2972</v>
      </c>
      <c r="C5" t="s">
        <v>2992</v>
      </c>
      <c r="D5" s="216" t="s">
        <v>2969</v>
      </c>
      <c r="E5">
        <v>2</v>
      </c>
      <c r="F5" t="s">
        <v>2914</v>
      </c>
      <c r="G5" t="s">
        <v>21</v>
      </c>
      <c r="H5" t="s">
        <v>2321</v>
      </c>
      <c r="I5" t="b">
        <v>1</v>
      </c>
      <c r="J5" t="str">
        <f>IF(Ambidextre=TRUE,"Ambidextre","")</f>
        <v/>
      </c>
      <c r="K5" t="s">
        <v>1311</v>
      </c>
      <c r="L5" s="2">
        <v>4</v>
      </c>
      <c r="M5" s="61" t="s">
        <v>458</v>
      </c>
      <c r="N5" t="str">
        <f>IF(OR(Anahuac=TRUE,croyant=TRUE),"Int. divine","")</f>
        <v/>
      </c>
      <c r="O5" t="s">
        <v>1924</v>
      </c>
      <c r="P5" s="61">
        <v>1862</v>
      </c>
      <c r="Q5">
        <v>8</v>
      </c>
      <c r="R5" s="53">
        <v>8</v>
      </c>
      <c r="S5" s="53">
        <v>4</v>
      </c>
      <c r="T5" t="s">
        <v>155</v>
      </c>
      <c r="U5" t="s">
        <v>160</v>
      </c>
      <c r="V5">
        <v>8</v>
      </c>
      <c r="W5" t="s">
        <v>1492</v>
      </c>
      <c r="X5" t="str">
        <f>IF(OR(noël=TRUE,halloween=TRUE),"","Poisson")</f>
        <v>Poisson</v>
      </c>
      <c r="Y5" t="s">
        <v>170</v>
      </c>
      <c r="Z5" t="s">
        <v>197</v>
      </c>
      <c r="AA5" t="s">
        <v>304</v>
      </c>
      <c r="AB5" s="55" t="s">
        <v>345</v>
      </c>
      <c r="AC5" s="55" t="s">
        <v>1914</v>
      </c>
      <c r="AD5" s="53" t="str">
        <f>IF(SexePerso="Féminin","Divorcée",IF('Perso Reloaded'!C6="Féminin","Divorcée","Divorcé"))</f>
        <v>Divorcé</v>
      </c>
      <c r="AE5" t="s">
        <v>74</v>
      </c>
      <c r="AF5" s="53" t="s">
        <v>77</v>
      </c>
      <c r="AG5" s="24" t="s">
        <v>5024</v>
      </c>
      <c r="AH5" t="s">
        <v>142</v>
      </c>
      <c r="AI5" t="s">
        <v>88</v>
      </c>
      <c r="AK5" t="s">
        <v>81</v>
      </c>
      <c r="AL5" t="str">
        <f>IF(SexePerso="Féminin","Ajusteuse/ Scieuse",IF('Perso Reloaded'!$C$6="Féminin","Ajusteuse/ Scieuse","Ajusteur/ Scieur"))</f>
        <v>Ajusteur/ Scieur</v>
      </c>
      <c r="AM5" t="s">
        <v>4664</v>
      </c>
      <c r="AO5" t="s">
        <v>3922</v>
      </c>
      <c r="AP5" s="53" t="s">
        <v>5065</v>
      </c>
      <c r="AQ5" s="111" t="s">
        <v>3899</v>
      </c>
      <c r="AR5" s="53" t="s">
        <v>121</v>
      </c>
      <c r="AS5" t="s">
        <v>3920</v>
      </c>
      <c r="AT5" s="53" t="s">
        <v>103</v>
      </c>
      <c r="AX5" s="111" t="s">
        <v>106</v>
      </c>
      <c r="AY5" t="s">
        <v>110</v>
      </c>
      <c r="AZ5" s="53" t="s">
        <v>110</v>
      </c>
      <c r="BB5" s="24" t="s">
        <v>3934</v>
      </c>
      <c r="BC5" t="s">
        <v>128</v>
      </c>
      <c r="BE5" s="53" t="s">
        <v>130</v>
      </c>
      <c r="BF5" s="53" t="s">
        <v>25</v>
      </c>
      <c r="BG5" s="53" t="s">
        <v>3930</v>
      </c>
      <c r="BI5" s="53" t="s">
        <v>2097</v>
      </c>
      <c r="BJ5" t="s">
        <v>21</v>
      </c>
      <c r="BK5" s="53" t="s">
        <v>3048</v>
      </c>
      <c r="BL5" t="s">
        <v>2248</v>
      </c>
      <c r="BM5" s="180" t="s">
        <v>2508</v>
      </c>
      <c r="BN5" t="s">
        <v>5013</v>
      </c>
      <c r="BO5" s="66" t="s">
        <v>5014</v>
      </c>
      <c r="BP5" s="53" t="s">
        <v>5015</v>
      </c>
      <c r="BR5" s="53" t="s">
        <v>3745</v>
      </c>
      <c r="BS5" t="s">
        <v>3753</v>
      </c>
      <c r="BT5" t="s">
        <v>236</v>
      </c>
      <c r="BU5" s="53">
        <v>60</v>
      </c>
      <c r="BV5" s="343" t="s">
        <v>3520</v>
      </c>
      <c r="BX5" t="s">
        <v>4243</v>
      </c>
      <c r="BY5">
        <v>10</v>
      </c>
      <c r="BZ5">
        <v>2</v>
      </c>
      <c r="CA5">
        <v>1</v>
      </c>
      <c r="CB5" s="53" t="s">
        <v>4241</v>
      </c>
      <c r="CC5" t="s">
        <v>4282</v>
      </c>
      <c r="CD5" s="239" t="s">
        <v>1268</v>
      </c>
      <c r="CE5" s="53">
        <v>25</v>
      </c>
    </row>
    <row r="6" spans="1:83" x14ac:dyDescent="0.3">
      <c r="A6" s="217">
        <v>5</v>
      </c>
      <c r="B6" t="s">
        <v>2972</v>
      </c>
      <c r="C6" t="s">
        <v>2992</v>
      </c>
      <c r="D6" t="s">
        <v>2970</v>
      </c>
      <c r="E6">
        <v>1</v>
      </c>
      <c r="F6" t="s">
        <v>2915</v>
      </c>
      <c r="G6" t="s">
        <v>2322</v>
      </c>
      <c r="H6" t="s">
        <v>12</v>
      </c>
      <c r="I6" t="b">
        <v>0</v>
      </c>
      <c r="K6" t="s">
        <v>923</v>
      </c>
      <c r="L6" s="2">
        <v>5</v>
      </c>
      <c r="M6" s="61" t="s">
        <v>1358</v>
      </c>
      <c r="N6" t="str">
        <f>IF(mds=TRUE,"Magie du sang","")</f>
        <v/>
      </c>
      <c r="O6" t="s">
        <v>1925</v>
      </c>
      <c r="P6" s="61">
        <v>1863</v>
      </c>
      <c r="Q6">
        <f>IF(GrosTas2=TRUE,"",10)</f>
        <v>10</v>
      </c>
      <c r="R6" s="53">
        <v>10</v>
      </c>
      <c r="S6" s="53">
        <v>6</v>
      </c>
      <c r="T6" t="s">
        <v>156</v>
      </c>
      <c r="U6" t="s">
        <v>158</v>
      </c>
      <c r="V6">
        <v>9</v>
      </c>
      <c r="W6" t="s">
        <v>1488</v>
      </c>
      <c r="X6" t="str">
        <f>IF(OR(noël=TRUE,halloween=TRUE),"","Bélier")</f>
        <v>Bélier</v>
      </c>
      <c r="Y6" t="s">
        <v>168</v>
      </c>
      <c r="Z6" t="s">
        <v>180</v>
      </c>
      <c r="AA6" t="s">
        <v>1070</v>
      </c>
      <c r="AB6" s="55" t="s">
        <v>344</v>
      </c>
      <c r="AC6" s="55" t="s">
        <v>1913</v>
      </c>
      <c r="AD6" s="53" t="s">
        <v>211</v>
      </c>
      <c r="AG6" s="24" t="s">
        <v>5025</v>
      </c>
      <c r="AH6" t="s">
        <v>4665</v>
      </c>
      <c r="AI6" t="s">
        <v>4657</v>
      </c>
      <c r="AK6" t="s">
        <v>139</v>
      </c>
      <c r="AL6" t="str">
        <f>IF(SexePerso="Féminin","Alchimiste/ Rebouteuse",IF('Perso Reloaded'!$C$6="Féminin","Alchimiste/ Rebouteuse","Alchimiste/ Rebouteur"))</f>
        <v>Alchimiste/ Rebouteur</v>
      </c>
      <c r="AM6" t="s">
        <v>144</v>
      </c>
      <c r="AO6" t="s">
        <v>3923</v>
      </c>
      <c r="AP6" s="53" t="s">
        <v>3921</v>
      </c>
      <c r="AQ6" s="111" t="s">
        <v>3329</v>
      </c>
      <c r="AR6" s="53" t="s">
        <v>122</v>
      </c>
      <c r="AT6" s="53" t="s">
        <v>120</v>
      </c>
      <c r="AX6" s="111" t="s">
        <v>3913</v>
      </c>
      <c r="AY6" t="s">
        <v>107</v>
      </c>
      <c r="AZ6" s="53" t="s">
        <v>107</v>
      </c>
      <c r="BB6" t="s">
        <v>112</v>
      </c>
      <c r="BE6" s="53" t="s">
        <v>111</v>
      </c>
      <c r="BG6" s="53" t="s">
        <v>4291</v>
      </c>
      <c r="BI6" s="53" t="str">
        <f>IF(SexePerso="Féminin","Distraite","Distrait")</f>
        <v>Distrait</v>
      </c>
      <c r="BJ6" t="s">
        <v>3049</v>
      </c>
      <c r="BK6" s="53" t="s">
        <v>16</v>
      </c>
      <c r="BL6" t="s">
        <v>2519</v>
      </c>
      <c r="BM6" s="180" t="s">
        <v>2517</v>
      </c>
      <c r="BN6" t="s">
        <v>5005</v>
      </c>
      <c r="BO6" s="66" t="s">
        <v>5006</v>
      </c>
      <c r="BP6" s="53" t="s">
        <v>5007</v>
      </c>
      <c r="BR6" s="53" t="s">
        <v>3746</v>
      </c>
      <c r="BS6" t="s">
        <v>2913</v>
      </c>
      <c r="BT6" t="s">
        <v>3861</v>
      </c>
      <c r="BU6" s="53">
        <v>80</v>
      </c>
      <c r="BV6" s="343" t="s">
        <v>3521</v>
      </c>
      <c r="BX6" t="s">
        <v>4251</v>
      </c>
      <c r="BY6">
        <v>20</v>
      </c>
      <c r="BZ6">
        <v>2</v>
      </c>
      <c r="CA6">
        <v>1</v>
      </c>
      <c r="CB6" s="53" t="s">
        <v>4253</v>
      </c>
      <c r="CC6" t="s">
        <v>4283</v>
      </c>
      <c r="CD6" s="239" t="s">
        <v>4287</v>
      </c>
      <c r="CE6" s="53">
        <v>25</v>
      </c>
    </row>
    <row r="7" spans="1:83" x14ac:dyDescent="0.3">
      <c r="A7" s="217">
        <v>6</v>
      </c>
      <c r="B7" t="s">
        <v>2972</v>
      </c>
      <c r="C7" t="s">
        <v>2992</v>
      </c>
      <c r="F7" t="s">
        <v>20</v>
      </c>
      <c r="G7" t="s">
        <v>2323</v>
      </c>
      <c r="H7" t="s">
        <v>14</v>
      </c>
      <c r="K7" t="s">
        <v>1312</v>
      </c>
      <c r="L7" s="2">
        <v>6</v>
      </c>
      <c r="M7" s="61" t="s">
        <v>27</v>
      </c>
      <c r="N7" t="str">
        <f>IF(OR(Anahuac=TRUE,croyant=TRUE),"Miracle","")</f>
        <v/>
      </c>
      <c r="O7" t="s">
        <v>1926</v>
      </c>
      <c r="P7" s="61">
        <v>1864</v>
      </c>
      <c r="Q7">
        <f>IF(OR(GrosTas1=TRUE,GrosTas2=TRUE),"",12)</f>
        <v>12</v>
      </c>
      <c r="R7" s="53">
        <f>IF(Rachitique=TRUE,"",12)</f>
        <v>12</v>
      </c>
      <c r="S7" s="53">
        <v>8</v>
      </c>
      <c r="T7" t="s">
        <v>157</v>
      </c>
      <c r="U7" t="s">
        <v>165</v>
      </c>
      <c r="V7">
        <v>10</v>
      </c>
      <c r="W7" t="s">
        <v>1489</v>
      </c>
      <c r="X7" t="str">
        <f>IF(OR(noël=TRUE,halloween=TRUE),"","Taureau")</f>
        <v>Taureau</v>
      </c>
      <c r="Y7" t="s">
        <v>169</v>
      </c>
      <c r="Z7" t="s">
        <v>183</v>
      </c>
      <c r="AA7" t="s">
        <v>308</v>
      </c>
      <c r="AB7" s="55" t="str">
        <f>IF(OR('Perso Classic'!C6="Masculin",'Perso Reloaded'!C6="Masculin"),"Barbe brouissailleuse","")</f>
        <v/>
      </c>
      <c r="AC7" s="55" t="s">
        <v>2437</v>
      </c>
      <c r="AD7" s="53" t="str">
        <f>IF(SexePerso="Féminin","Veuve",IF('Perso Reloaded'!C6="Féminin","Veuve","Veuf"))</f>
        <v>Veuf</v>
      </c>
      <c r="AG7" s="24" t="s">
        <v>1623</v>
      </c>
      <c r="AH7" t="s">
        <v>150</v>
      </c>
      <c r="AI7" t="s">
        <v>136</v>
      </c>
      <c r="AK7" t="s">
        <v>126</v>
      </c>
      <c r="AL7" t="str">
        <f>IF(SexePerso="Féminin","Allumeuse de réverbères",IF('Perso Reloaded'!$C$6="Féminin","Allumeuse de réverbères","Allumeur de réverbères"))</f>
        <v>Allumeur de réverbères</v>
      </c>
      <c r="AM7" t="s">
        <v>148</v>
      </c>
      <c r="AO7" t="s">
        <v>79</v>
      </c>
      <c r="AP7" s="53" t="s">
        <v>95</v>
      </c>
      <c r="AQ7" s="111" t="s">
        <v>3889</v>
      </c>
      <c r="AR7" s="53" t="s">
        <v>98</v>
      </c>
      <c r="AX7" s="208" t="s">
        <v>546</v>
      </c>
      <c r="AY7" t="s">
        <v>108</v>
      </c>
      <c r="AZ7" s="53" t="s">
        <v>108</v>
      </c>
      <c r="BB7" t="s">
        <v>117</v>
      </c>
      <c r="BE7" s="53" t="s">
        <v>104</v>
      </c>
      <c r="BG7" s="53" t="s">
        <v>3931</v>
      </c>
      <c r="BI7" s="53" t="s">
        <v>2096</v>
      </c>
      <c r="BJ7" s="53" t="str">
        <f>IF(Calc!U23=TRUE,"Diffusion thaumaturgique","")</f>
        <v/>
      </c>
      <c r="BK7" s="53" t="s">
        <v>3048</v>
      </c>
      <c r="BL7" t="s">
        <v>2249</v>
      </c>
      <c r="BM7" s="180" t="s">
        <v>2508</v>
      </c>
      <c r="BN7" t="s">
        <v>4554</v>
      </c>
      <c r="BO7" s="65" t="s">
        <v>4621</v>
      </c>
      <c r="BP7" s="53" t="s">
        <v>4555</v>
      </c>
      <c r="BR7" s="53" t="s">
        <v>3747</v>
      </c>
      <c r="BV7" s="343" t="s">
        <v>3525</v>
      </c>
      <c r="BX7" t="s">
        <v>47</v>
      </c>
      <c r="BY7">
        <v>0</v>
      </c>
      <c r="BZ7">
        <v>0</v>
      </c>
      <c r="CA7">
        <v>0</v>
      </c>
      <c r="CB7" s="53" t="s">
        <v>47</v>
      </c>
      <c r="CC7" t="s">
        <v>4285</v>
      </c>
      <c r="CD7" s="239" t="s">
        <v>4286</v>
      </c>
      <c r="CE7" s="53">
        <v>8</v>
      </c>
    </row>
    <row r="8" spans="1:83" x14ac:dyDescent="0.3">
      <c r="A8" s="217">
        <v>7</v>
      </c>
      <c r="B8" t="s">
        <v>2972</v>
      </c>
      <c r="C8" t="s">
        <v>2992</v>
      </c>
      <c r="G8" t="s">
        <v>2325</v>
      </c>
      <c r="H8" t="s">
        <v>15</v>
      </c>
      <c r="K8" t="s">
        <v>925</v>
      </c>
      <c r="L8" s="2">
        <v>7</v>
      </c>
      <c r="M8" s="61" t="s">
        <v>475</v>
      </c>
      <c r="N8" t="str">
        <f>IF(Illumination=TRUE,"Pouvoir Ki","")</f>
        <v/>
      </c>
      <c r="O8" t="s">
        <v>1927</v>
      </c>
      <c r="P8" s="61">
        <v>1865</v>
      </c>
      <c r="Q8">
        <f>IF(OR(GrosTas1=TRUE,GrosTas2=TRUE),"",20)</f>
        <v>20</v>
      </c>
      <c r="R8" s="53">
        <f>IF(Rachitique=TRUE,"",20)</f>
        <v>20</v>
      </c>
      <c r="S8" s="53">
        <v>10</v>
      </c>
      <c r="U8" t="s">
        <v>164</v>
      </c>
      <c r="V8">
        <v>11</v>
      </c>
      <c r="W8" t="s">
        <v>1432</v>
      </c>
      <c r="X8" t="str">
        <f>IF(OR(noël=TRUE,halloween=TRUE),"","Gémeaux")</f>
        <v>Gémeaux</v>
      </c>
      <c r="Y8" t="s">
        <v>171</v>
      </c>
      <c r="Z8" t="s">
        <v>179</v>
      </c>
      <c r="AA8" t="s">
        <v>302</v>
      </c>
      <c r="AB8" s="55" t="str">
        <f>IF(OR('Perso Classic'!C6="Masculin",'Perso Reloaded'!C6="Masculin"),"Barbichette","")</f>
        <v/>
      </c>
      <c r="AC8" s="55" t="s">
        <v>2966</v>
      </c>
      <c r="AG8" s="24" t="s">
        <v>1629</v>
      </c>
      <c r="AH8" t="s">
        <v>145</v>
      </c>
      <c r="AI8" t="s">
        <v>4658</v>
      </c>
      <c r="AK8" t="s">
        <v>4990</v>
      </c>
      <c r="AL8" t="str">
        <f>IF(SexePerso="Féminin","Sage-Femme",IF('Perso Reloaded'!$C$6="Féminin","Sage-Femme","Ancien du village"))</f>
        <v>Ancien du village</v>
      </c>
      <c r="AM8" t="s">
        <v>148</v>
      </c>
      <c r="AO8" t="s">
        <v>3925</v>
      </c>
      <c r="AP8" s="53" t="s">
        <v>4294</v>
      </c>
      <c r="AQ8" s="111" t="s">
        <v>3894</v>
      </c>
      <c r="AR8" s="53" t="s">
        <v>125</v>
      </c>
      <c r="AX8" s="111" t="s">
        <v>104</v>
      </c>
      <c r="BB8" s="24" t="s">
        <v>544</v>
      </c>
      <c r="BE8" s="53" t="s">
        <v>110</v>
      </c>
      <c r="BG8" s="53" t="s">
        <v>141</v>
      </c>
      <c r="BI8" s="53" t="s">
        <v>4573</v>
      </c>
      <c r="BJ8" t="s">
        <v>3050</v>
      </c>
      <c r="BK8" s="53" t="s">
        <v>16</v>
      </c>
      <c r="BL8" t="s">
        <v>13</v>
      </c>
      <c r="BM8" s="180" t="s">
        <v>2509</v>
      </c>
      <c r="BN8" t="s">
        <v>2421</v>
      </c>
      <c r="BO8" s="65" t="s">
        <v>3879</v>
      </c>
      <c r="BP8" s="53" t="s">
        <v>2414</v>
      </c>
      <c r="BR8" s="53" t="s">
        <v>3748</v>
      </c>
      <c r="BV8" s="343" t="s">
        <v>3526</v>
      </c>
      <c r="BX8" t="s">
        <v>4247</v>
      </c>
      <c r="BY8">
        <v>10</v>
      </c>
      <c r="BZ8">
        <v>3</v>
      </c>
      <c r="CA8">
        <v>3</v>
      </c>
      <c r="CB8" s="53" t="s">
        <v>4247</v>
      </c>
    </row>
    <row r="9" spans="1:83" x14ac:dyDescent="0.3">
      <c r="A9" s="217">
        <v>8</v>
      </c>
      <c r="B9" t="s">
        <v>2973</v>
      </c>
      <c r="C9" t="s">
        <v>2993</v>
      </c>
      <c r="G9" t="s">
        <v>2324</v>
      </c>
      <c r="H9" t="s">
        <v>16</v>
      </c>
      <c r="K9" t="s">
        <v>553</v>
      </c>
      <c r="L9" s="2">
        <v>8</v>
      </c>
      <c r="M9" s="61" t="s">
        <v>74</v>
      </c>
      <c r="N9" t="str">
        <f>IF(OR(Aztèque=TRUE,chaman=TRUE),"Rituels","")</f>
        <v/>
      </c>
      <c r="O9" t="s">
        <v>1928</v>
      </c>
      <c r="P9" s="61">
        <v>1866</v>
      </c>
      <c r="S9" s="53">
        <v>12</v>
      </c>
      <c r="U9" t="s">
        <v>163</v>
      </c>
      <c r="V9">
        <v>12</v>
      </c>
      <c r="W9" t="s">
        <v>1433</v>
      </c>
      <c r="X9" t="str">
        <f>IF(OR(noël=TRUE,halloween=TRUE),"","Cancer")</f>
        <v>Cancer</v>
      </c>
      <c r="Y9" t="s">
        <v>172</v>
      </c>
      <c r="Z9" t="s">
        <v>184</v>
      </c>
      <c r="AA9" t="s">
        <v>305</v>
      </c>
      <c r="AB9" s="55" t="s">
        <v>343</v>
      </c>
      <c r="AC9" s="55" t="s">
        <v>4462</v>
      </c>
      <c r="AG9" s="24" t="s">
        <v>1620</v>
      </c>
      <c r="AH9" t="s">
        <v>4664</v>
      </c>
      <c r="AI9" t="s">
        <v>84</v>
      </c>
      <c r="AK9" t="s">
        <v>2164</v>
      </c>
      <c r="AL9" t="str">
        <f>IF(SexePerso="Féminin","Antiquaire/ Brocanteuse",IF('Perso Reloaded'!$C$6="Féminin","Antiquaire/ Brocanteuse","Antiquaire/ Brocanteur"))</f>
        <v>Antiquaire/ Brocanteur</v>
      </c>
      <c r="AM9" t="s">
        <v>142</v>
      </c>
      <c r="AO9" t="s">
        <v>4296</v>
      </c>
      <c r="AP9" s="53" t="s">
        <v>4293</v>
      </c>
      <c r="AQ9" s="111" t="s">
        <v>3884</v>
      </c>
      <c r="AR9" s="53" t="s">
        <v>124</v>
      </c>
      <c r="AX9" s="111" t="s">
        <v>105</v>
      </c>
      <c r="BB9" t="s">
        <v>113</v>
      </c>
      <c r="BE9" s="53" t="s">
        <v>105</v>
      </c>
      <c r="BG9" s="53" t="s">
        <v>3932</v>
      </c>
      <c r="BI9" s="53" t="s">
        <v>2095</v>
      </c>
      <c r="BJ9" t="s">
        <v>58</v>
      </c>
      <c r="BK9" s="53" t="s">
        <v>16</v>
      </c>
      <c r="BL9" t="s">
        <v>2516</v>
      </c>
      <c r="BM9" s="180" t="s">
        <v>2517</v>
      </c>
      <c r="BN9" t="s">
        <v>2363</v>
      </c>
      <c r="BO9" s="65" t="s">
        <v>2365</v>
      </c>
      <c r="BP9" s="53" t="s">
        <v>2362</v>
      </c>
      <c r="BR9" s="53" t="s">
        <v>3749</v>
      </c>
      <c r="BV9" s="343" t="s">
        <v>3527</v>
      </c>
      <c r="BX9" t="s">
        <v>5144</v>
      </c>
      <c r="BY9">
        <v>10</v>
      </c>
      <c r="BZ9">
        <v>2</v>
      </c>
      <c r="CA9">
        <v>0</v>
      </c>
      <c r="CB9" s="53" t="s">
        <v>5143</v>
      </c>
    </row>
    <row r="10" spans="1:83" x14ac:dyDescent="0.3">
      <c r="A10" s="217">
        <v>9</v>
      </c>
      <c r="B10" t="s">
        <v>2973</v>
      </c>
      <c r="C10" t="s">
        <v>2993</v>
      </c>
      <c r="G10" t="s">
        <v>2326</v>
      </c>
      <c r="H10" t="s">
        <v>17</v>
      </c>
      <c r="K10" t="s">
        <v>926</v>
      </c>
      <c r="L10" s="2">
        <v>9</v>
      </c>
      <c r="M10" s="61" t="s">
        <v>447</v>
      </c>
      <c r="N10" t="str">
        <f>IF(occulte=TRUE,"Sort","")</f>
        <v/>
      </c>
      <c r="P10" s="61">
        <v>1867</v>
      </c>
      <c r="S10" s="53">
        <v>20</v>
      </c>
      <c r="U10" t="s">
        <v>167</v>
      </c>
      <c r="V10">
        <v>13</v>
      </c>
      <c r="W10" t="s">
        <v>1434</v>
      </c>
      <c r="X10" t="str">
        <f>IF(OR(noël=TRUE,halloween=TRUE),"","Lion")</f>
        <v>Lion</v>
      </c>
      <c r="Y10" t="s">
        <v>173</v>
      </c>
      <c r="Z10" t="s">
        <v>174</v>
      </c>
      <c r="AA10" t="s">
        <v>301</v>
      </c>
      <c r="AB10" s="55" t="s">
        <v>342</v>
      </c>
      <c r="AC10" s="55" t="s">
        <v>1915</v>
      </c>
      <c r="AG10" s="24" t="s">
        <v>1627</v>
      </c>
      <c r="AH10" t="s">
        <v>143</v>
      </c>
      <c r="AI10" t="s">
        <v>4655</v>
      </c>
      <c r="AK10" t="s">
        <v>3484</v>
      </c>
      <c r="AL10" t="s">
        <v>4637</v>
      </c>
      <c r="AM10" t="s">
        <v>143</v>
      </c>
      <c r="AO10" t="s">
        <v>3935</v>
      </c>
      <c r="AP10" s="53" t="s">
        <v>5064</v>
      </c>
      <c r="AQ10" s="111" t="s">
        <v>3910</v>
      </c>
      <c r="AX10" s="111" t="s">
        <v>1314</v>
      </c>
      <c r="BB10" t="s">
        <v>118</v>
      </c>
      <c r="BE10" s="53" t="s">
        <v>107</v>
      </c>
      <c r="BG10" s="53" t="s">
        <v>3933</v>
      </c>
      <c r="BI10" s="53" t="s">
        <v>4504</v>
      </c>
      <c r="BJ10" t="s">
        <v>3052</v>
      </c>
      <c r="BK10" s="53" t="s">
        <v>18</v>
      </c>
      <c r="BL10" t="s">
        <v>2250</v>
      </c>
      <c r="BM10" s="180" t="s">
        <v>2509</v>
      </c>
      <c r="BN10" t="s">
        <v>2420</v>
      </c>
      <c r="BO10" s="65" t="s">
        <v>2419</v>
      </c>
      <c r="BP10" s="53" t="s">
        <v>2414</v>
      </c>
      <c r="BR10" s="53" t="s">
        <v>3750</v>
      </c>
      <c r="BV10" s="343" t="s">
        <v>3528</v>
      </c>
      <c r="BX10" t="s">
        <v>4250</v>
      </c>
      <c r="BY10">
        <v>10</v>
      </c>
      <c r="BZ10">
        <v>3</v>
      </c>
      <c r="CA10">
        <v>3</v>
      </c>
      <c r="CB10" s="53" t="s">
        <v>4247</v>
      </c>
    </row>
    <row r="11" spans="1:83" x14ac:dyDescent="0.3">
      <c r="A11" s="217">
        <v>10</v>
      </c>
      <c r="B11" t="s">
        <v>2973</v>
      </c>
      <c r="C11" t="s">
        <v>2993</v>
      </c>
      <c r="G11" t="s">
        <v>2327</v>
      </c>
      <c r="H11" t="s">
        <v>18</v>
      </c>
      <c r="K11" t="s">
        <v>588</v>
      </c>
      <c r="L11" s="2">
        <v>10</v>
      </c>
      <c r="M11" s="61" t="s">
        <v>398</v>
      </c>
      <c r="N11" t="str">
        <f>IF(vaudou=TRUE,"Vaudouisme","")</f>
        <v/>
      </c>
      <c r="P11" s="61">
        <v>1868</v>
      </c>
      <c r="U11" t="s">
        <v>1868</v>
      </c>
      <c r="V11">
        <v>14</v>
      </c>
      <c r="W11" t="s">
        <v>1435</v>
      </c>
      <c r="X11" t="str">
        <f>IF(OR(noël=TRUE,halloween=TRUE),"","Vierge")</f>
        <v>Vierge</v>
      </c>
      <c r="Y11" t="s">
        <v>166</v>
      </c>
      <c r="Z11" t="s">
        <v>185</v>
      </c>
      <c r="AA11" t="s">
        <v>1071</v>
      </c>
      <c r="AB11" s="55" t="s">
        <v>341</v>
      </c>
      <c r="AC11" s="55" t="s">
        <v>1911</v>
      </c>
      <c r="AG11" s="24" t="s">
        <v>1628</v>
      </c>
      <c r="AH11" t="s">
        <v>141</v>
      </c>
      <c r="AI11" t="s">
        <v>4659</v>
      </c>
      <c r="AK11" t="s">
        <v>80</v>
      </c>
      <c r="AL11" t="s">
        <v>4638</v>
      </c>
      <c r="AM11" t="s">
        <v>149</v>
      </c>
      <c r="AO11" t="s">
        <v>92</v>
      </c>
      <c r="AP11" s="53" t="s">
        <v>3055</v>
      </c>
      <c r="AQ11" s="111" t="s">
        <v>963</v>
      </c>
      <c r="BB11" s="24" t="s">
        <v>547</v>
      </c>
      <c r="BE11" s="53" t="s">
        <v>115</v>
      </c>
      <c r="BG11" s="53" t="s">
        <v>144</v>
      </c>
      <c r="BI11" s="53" t="str">
        <f>IF(SexePerso="Féminin","Maniaco-dépressive","Maniaco-dépressif")</f>
        <v>Maniaco-dépressif</v>
      </c>
      <c r="BJ11" t="str">
        <f>IF(croyant=TRUE,"Foi","")</f>
        <v/>
      </c>
      <c r="BK11" s="53" t="s">
        <v>1728</v>
      </c>
      <c r="BL11" t="s">
        <v>2251</v>
      </c>
      <c r="BM11" s="180" t="s">
        <v>2509</v>
      </c>
      <c r="BN11" t="s">
        <v>4556</v>
      </c>
      <c r="BO11" s="65" t="s">
        <v>4557</v>
      </c>
      <c r="BP11" s="53" t="s">
        <v>4558</v>
      </c>
      <c r="BX11" t="s">
        <v>4254</v>
      </c>
      <c r="BY11">
        <v>20</v>
      </c>
      <c r="BZ11">
        <v>1</v>
      </c>
      <c r="CA11">
        <v>1</v>
      </c>
      <c r="CB11" s="53" t="s">
        <v>1063</v>
      </c>
    </row>
    <row r="12" spans="1:83" x14ac:dyDescent="0.3">
      <c r="A12" s="217" t="s">
        <v>2998</v>
      </c>
      <c r="B12" t="s">
        <v>2973</v>
      </c>
      <c r="C12" t="s">
        <v>2993</v>
      </c>
      <c r="G12" t="s">
        <v>2426</v>
      </c>
      <c r="H12" t="s">
        <v>19</v>
      </c>
      <c r="K12" t="s">
        <v>927</v>
      </c>
      <c r="L12" s="2">
        <v>11</v>
      </c>
      <c r="M12" s="61" t="s">
        <v>498</v>
      </c>
      <c r="N12" t="str">
        <f>IF(AND(occulte=TRUE,sciencefolle=TRUE),"Sort technologique","")</f>
        <v/>
      </c>
      <c r="P12" s="61">
        <v>1869</v>
      </c>
      <c r="U12" t="s">
        <v>166</v>
      </c>
      <c r="V12">
        <v>15</v>
      </c>
      <c r="W12" t="s">
        <v>1436</v>
      </c>
      <c r="X12" t="str">
        <f>IF(OR(noël=TRUE,halloween=TRUE),"","Balance")</f>
        <v>Balance</v>
      </c>
      <c r="Y12" t="s">
        <v>208</v>
      </c>
      <c r="Z12" t="s">
        <v>175</v>
      </c>
      <c r="AA12" t="s">
        <v>1105</v>
      </c>
      <c r="AB12" s="55" t="s">
        <v>340</v>
      </c>
      <c r="AC12" s="55" t="s">
        <v>1912</v>
      </c>
      <c r="AG12" s="24" t="s">
        <v>1659</v>
      </c>
      <c r="AH12" t="s">
        <v>149</v>
      </c>
      <c r="AI12" t="s">
        <v>85</v>
      </c>
      <c r="AL12" t="str">
        <f>IF(SexePerso="Féminin","Arrimeuse/ Docker",IF('Perso Reloaded'!$C$6="Féminin","Arrimeuse/ Docker","Arrimeur/ Docker"))</f>
        <v>Arrimeur/ Docker</v>
      </c>
      <c r="AM12" t="s">
        <v>4664</v>
      </c>
      <c r="AO12" t="s">
        <v>91</v>
      </c>
      <c r="AP12" s="53" t="s">
        <v>94</v>
      </c>
      <c r="AQ12" s="111" t="s">
        <v>3887</v>
      </c>
      <c r="BB12" t="s">
        <v>114</v>
      </c>
      <c r="BE12" s="53" t="s">
        <v>108</v>
      </c>
      <c r="BI12" s="53" t="s">
        <v>2100</v>
      </c>
      <c r="BJ12" t="s">
        <v>3053</v>
      </c>
      <c r="BK12" s="53" t="s">
        <v>1728</v>
      </c>
      <c r="BL12" t="s">
        <v>2252</v>
      </c>
      <c r="BM12" s="180" t="s">
        <v>2510</v>
      </c>
      <c r="BN12" t="s">
        <v>2337</v>
      </c>
      <c r="BO12" s="65" t="s">
        <v>2338</v>
      </c>
      <c r="BP12" s="53" t="s">
        <v>2339</v>
      </c>
      <c r="BX12" t="s">
        <v>5131</v>
      </c>
      <c r="BY12">
        <v>10</v>
      </c>
      <c r="BZ12">
        <v>3</v>
      </c>
      <c r="CA12">
        <v>1</v>
      </c>
      <c r="CB12" s="53" t="s">
        <v>5132</v>
      </c>
    </row>
    <row r="13" spans="1:83" x14ac:dyDescent="0.3">
      <c r="A13" s="217" t="s">
        <v>2999</v>
      </c>
      <c r="B13" t="s">
        <v>2974</v>
      </c>
      <c r="C13" t="s">
        <v>2994</v>
      </c>
      <c r="K13" t="s">
        <v>928</v>
      </c>
      <c r="L13" s="2">
        <v>12</v>
      </c>
      <c r="M13" s="61" t="s">
        <v>525</v>
      </c>
      <c r="P13" s="61">
        <v>1870</v>
      </c>
      <c r="U13" t="s">
        <v>159</v>
      </c>
      <c r="V13">
        <v>16</v>
      </c>
      <c r="W13" t="s">
        <v>1437</v>
      </c>
      <c r="X13" t="str">
        <f>IF(noël=TRUE,"","Scorpion")</f>
        <v>Scorpion</v>
      </c>
      <c r="Y13" t="s">
        <v>206</v>
      </c>
      <c r="Z13" t="s">
        <v>186</v>
      </c>
      <c r="AA13" t="s">
        <v>303</v>
      </c>
      <c r="AB13" s="55" t="s">
        <v>339</v>
      </c>
      <c r="AC13" s="55" t="s">
        <v>1910</v>
      </c>
      <c r="AG13" s="24" t="s">
        <v>1622</v>
      </c>
      <c r="AH13" t="s">
        <v>144</v>
      </c>
      <c r="AI13" t="s">
        <v>83</v>
      </c>
      <c r="AL13" t="str">
        <f>IF(SexePerso="Féminin","Artisanne",IF('Perso Reloaded'!$C$6="Féminin","Artisanne","Artisan"))</f>
        <v>Artisan</v>
      </c>
      <c r="AM13" t="s">
        <v>4664</v>
      </c>
      <c r="AO13" t="s">
        <v>1063</v>
      </c>
      <c r="AP13" s="53" t="s">
        <v>93</v>
      </c>
      <c r="AQ13" s="111" t="s">
        <v>3896</v>
      </c>
      <c r="BB13" t="s">
        <v>115</v>
      </c>
      <c r="BI13" s="53" t="s">
        <v>2101</v>
      </c>
      <c r="BJ13" t="s">
        <v>40</v>
      </c>
      <c r="BK13" s="53" t="s">
        <v>3048</v>
      </c>
      <c r="BL13" t="s">
        <v>2253</v>
      </c>
      <c r="BM13" s="180" t="s">
        <v>2510</v>
      </c>
      <c r="BN13" t="s">
        <v>2360</v>
      </c>
      <c r="BO13" s="65" t="s">
        <v>2361</v>
      </c>
      <c r="BP13" s="53" t="s">
        <v>2357</v>
      </c>
      <c r="BX13" t="s">
        <v>2270</v>
      </c>
      <c r="BY13">
        <v>0</v>
      </c>
      <c r="BZ13">
        <v>0</v>
      </c>
      <c r="CA13">
        <v>0</v>
      </c>
      <c r="CB13" s="53" t="s">
        <v>47</v>
      </c>
    </row>
    <row r="14" spans="1:83" x14ac:dyDescent="0.3">
      <c r="A14" s="217" t="s">
        <v>3000</v>
      </c>
      <c r="B14" t="s">
        <v>2974</v>
      </c>
      <c r="C14" t="s">
        <v>2994</v>
      </c>
      <c r="K14" t="s">
        <v>929</v>
      </c>
      <c r="L14" s="2">
        <v>13</v>
      </c>
      <c r="M14" s="2"/>
      <c r="P14" s="61">
        <v>1871</v>
      </c>
      <c r="U14" t="s">
        <v>1869</v>
      </c>
      <c r="V14">
        <v>17</v>
      </c>
      <c r="W14" t="s">
        <v>1438</v>
      </c>
      <c r="X14" t="str">
        <f>IF(OR(noël=TRUE,halloween=TRUE),"","Sagittaire")</f>
        <v>Sagittaire</v>
      </c>
      <c r="Y14" t="s">
        <v>207</v>
      </c>
      <c r="Z14" t="s">
        <v>176</v>
      </c>
      <c r="AA14" t="s">
        <v>1072</v>
      </c>
      <c r="AB14" s="55" t="s">
        <v>348</v>
      </c>
      <c r="AC14" s="55" t="s">
        <v>1909</v>
      </c>
      <c r="AG14" s="24" t="s">
        <v>1625</v>
      </c>
      <c r="AH14" t="s">
        <v>148</v>
      </c>
      <c r="AI14" t="s">
        <v>4987</v>
      </c>
      <c r="AL14" t="s">
        <v>4639</v>
      </c>
      <c r="AM14" t="s">
        <v>140</v>
      </c>
      <c r="AO14" t="s">
        <v>4620</v>
      </c>
      <c r="AP14" s="53" t="s">
        <v>4295</v>
      </c>
      <c r="AQ14" s="111" t="s">
        <v>3885</v>
      </c>
      <c r="BI14" s="53" t="s">
        <v>2099</v>
      </c>
      <c r="BJ14" t="s">
        <v>54</v>
      </c>
      <c r="BK14" s="53" t="s">
        <v>16</v>
      </c>
      <c r="BL14" t="s">
        <v>2518</v>
      </c>
      <c r="BM14" s="180" t="s">
        <v>2517</v>
      </c>
      <c r="BN14" t="s">
        <v>4568</v>
      </c>
      <c r="BO14" s="65" t="s">
        <v>4569</v>
      </c>
      <c r="BP14" s="53" t="s">
        <v>4565</v>
      </c>
    </row>
    <row r="15" spans="1:83" x14ac:dyDescent="0.3">
      <c r="A15" s="217" t="s">
        <v>953</v>
      </c>
      <c r="B15" t="s">
        <v>2975</v>
      </c>
      <c r="C15" t="s">
        <v>2995</v>
      </c>
      <c r="K15" t="s">
        <v>41</v>
      </c>
      <c r="L15" s="2">
        <v>14</v>
      </c>
      <c r="M15" s="2"/>
      <c r="P15" s="61">
        <v>1872</v>
      </c>
      <c r="U15" t="s">
        <v>162</v>
      </c>
      <c r="V15">
        <v>18</v>
      </c>
      <c r="W15" t="s">
        <v>1439</v>
      </c>
      <c r="Z15" t="s">
        <v>187</v>
      </c>
      <c r="AA15" t="s">
        <v>1004</v>
      </c>
      <c r="AB15" s="55" t="s">
        <v>338</v>
      </c>
      <c r="AC15" s="55" t="s">
        <v>1907</v>
      </c>
      <c r="AG15" s="24" t="s">
        <v>1624</v>
      </c>
      <c r="AH15" t="s">
        <v>1721</v>
      </c>
      <c r="AI15" t="s">
        <v>1725</v>
      </c>
      <c r="AL15" t="str">
        <f>IF(SexePerso="Féminin","Assassin/ Tueuse à gages",IF('Perso Reloaded'!$C$6="Féminin","Assassin/ Tueuse à gages","Assassin/ Tueur à gages"))</f>
        <v>Assassin/ Tueur à gages</v>
      </c>
      <c r="AM15" t="s">
        <v>4665</v>
      </c>
      <c r="AP15" s="53" t="s">
        <v>96</v>
      </c>
      <c r="AQ15" s="111" t="s">
        <v>3888</v>
      </c>
      <c r="BI15" s="53" t="s">
        <v>2098</v>
      </c>
      <c r="BJ15" t="s">
        <v>30</v>
      </c>
      <c r="BK15" s="53" t="s">
        <v>3048</v>
      </c>
      <c r="BL15" t="s">
        <v>2254</v>
      </c>
      <c r="BM15" s="180" t="s">
        <v>2510</v>
      </c>
      <c r="BN15" t="s">
        <v>2442</v>
      </c>
      <c r="BO15" s="65" t="s">
        <v>2443</v>
      </c>
      <c r="BP15" s="53" t="s">
        <v>2123</v>
      </c>
    </row>
    <row r="16" spans="1:83" x14ac:dyDescent="0.3">
      <c r="A16" s="217" t="s">
        <v>2996</v>
      </c>
      <c r="B16" t="s">
        <v>2975</v>
      </c>
      <c r="C16" t="s">
        <v>2995</v>
      </c>
      <c r="K16" t="s">
        <v>930</v>
      </c>
      <c r="L16" s="2">
        <v>15</v>
      </c>
      <c r="M16" s="2"/>
      <c r="P16" s="61">
        <v>1873</v>
      </c>
      <c r="V16">
        <v>19</v>
      </c>
      <c r="W16" t="s">
        <v>1440</v>
      </c>
      <c r="Z16" t="s">
        <v>177</v>
      </c>
      <c r="AB16" s="55" t="s">
        <v>337</v>
      </c>
      <c r="AC16" s="55" t="s">
        <v>1908</v>
      </c>
      <c r="AG16" s="24" t="s">
        <v>1630</v>
      </c>
      <c r="AH16" t="s">
        <v>147</v>
      </c>
      <c r="AI16" t="s">
        <v>1726</v>
      </c>
      <c r="AL16" t="str">
        <f>IF(SexePerso="Féminin","Aubergiste/ Hôtelière/ Tavernière",IF('Perso Reloaded'!$C$6="Féminin","Aubergiste/ Hôtelière/ Tavernière","Aubergiste/ Hôtelier/ Tavernier"))</f>
        <v>Aubergiste/ Hôtelier/ Tavernier</v>
      </c>
      <c r="AM16" t="s">
        <v>142</v>
      </c>
      <c r="AQ16" s="111" t="s">
        <v>3905</v>
      </c>
      <c r="BI16" s="53" t="s">
        <v>4503</v>
      </c>
      <c r="BJ16" t="str">
        <f>IF(occulte=TRUE,"Magie","")</f>
        <v/>
      </c>
      <c r="BK16" s="53" t="s">
        <v>3048</v>
      </c>
      <c r="BL16" t="s">
        <v>2521</v>
      </c>
      <c r="BM16" s="180" t="s">
        <v>2517</v>
      </c>
      <c r="BN16" t="s">
        <v>2435</v>
      </c>
      <c r="BO16" s="65" t="s">
        <v>2436</v>
      </c>
      <c r="BP16" s="53" t="s">
        <v>2434</v>
      </c>
    </row>
    <row r="17" spans="11:68" x14ac:dyDescent="0.3">
      <c r="K17" t="s">
        <v>1306</v>
      </c>
      <c r="L17" s="2">
        <v>16</v>
      </c>
      <c r="M17" s="2"/>
      <c r="P17" s="61">
        <v>1874</v>
      </c>
      <c r="V17">
        <v>20</v>
      </c>
      <c r="W17" t="s">
        <v>1441</v>
      </c>
      <c r="Z17" t="s">
        <v>188</v>
      </c>
      <c r="AB17" s="55" t="s">
        <v>336</v>
      </c>
      <c r="AC17" s="55" t="s">
        <v>1900</v>
      </c>
      <c r="AG17" s="24" t="s">
        <v>5034</v>
      </c>
      <c r="AI17" t="s">
        <v>135</v>
      </c>
      <c r="AL17" t="str">
        <f>IF(SexePerso="Féminin","Aviatrice",IF('Perso Reloaded'!$C$6="Féminin","Aviatrice","Aviateur"))</f>
        <v>Aviateur</v>
      </c>
      <c r="AM17" t="s">
        <v>147</v>
      </c>
      <c r="AQ17" s="111" t="s">
        <v>3891</v>
      </c>
      <c r="BI17" s="53" t="s">
        <v>2102</v>
      </c>
      <c r="BJ17" t="str">
        <f>IF(chaman=TRUE,"Médecine Tribale","")</f>
        <v/>
      </c>
      <c r="BK17" s="53" t="s">
        <v>1728</v>
      </c>
      <c r="BL17" t="s">
        <v>2255</v>
      </c>
      <c r="BM17" s="180" t="s">
        <v>2511</v>
      </c>
      <c r="BN17" t="s">
        <v>2417</v>
      </c>
      <c r="BO17" s="65" t="s">
        <v>2418</v>
      </c>
      <c r="BP17" s="53" t="s">
        <v>2414</v>
      </c>
    </row>
    <row r="18" spans="11:68" x14ac:dyDescent="0.3">
      <c r="K18" t="s">
        <v>561</v>
      </c>
      <c r="L18" s="2">
        <v>17</v>
      </c>
      <c r="M18" s="2"/>
      <c r="P18" s="61">
        <v>1875</v>
      </c>
      <c r="V18">
        <v>21</v>
      </c>
      <c r="W18" t="s">
        <v>1442</v>
      </c>
      <c r="Z18" t="s">
        <v>178</v>
      </c>
      <c r="AB18" s="55" t="s">
        <v>335</v>
      </c>
      <c r="AC18" s="55" t="s">
        <v>2440</v>
      </c>
      <c r="AG18" s="24" t="s">
        <v>5034</v>
      </c>
      <c r="AI18" t="s">
        <v>5050</v>
      </c>
      <c r="AL18" t="str">
        <f>IF(SexePerso="Féminin","Avocate/ Plaideuse/ Juge",IF('Perso Reloaded'!$C$6="Féminin","Avocate/ Plaideuse/ Juge","Avocat/ Plaideur/ Juge"))</f>
        <v>Avocat/ Plaideur/ Juge</v>
      </c>
      <c r="AM18" t="s">
        <v>150</v>
      </c>
      <c r="AQ18" s="111" t="s">
        <v>3904</v>
      </c>
      <c r="BJ18" t="s">
        <v>3054</v>
      </c>
      <c r="BK18" s="53" t="s">
        <v>16</v>
      </c>
      <c r="BL18" t="s">
        <v>2520</v>
      </c>
      <c r="BM18" s="180" t="s">
        <v>2517</v>
      </c>
      <c r="BN18" t="s">
        <v>4493</v>
      </c>
      <c r="BO18" s="65" t="s">
        <v>4494</v>
      </c>
      <c r="BP18" s="53" t="s">
        <v>4492</v>
      </c>
    </row>
    <row r="19" spans="11:68" x14ac:dyDescent="0.3">
      <c r="K19" t="s">
        <v>1576</v>
      </c>
      <c r="L19" s="2">
        <v>18</v>
      </c>
      <c r="P19" s="61">
        <v>1876</v>
      </c>
      <c r="V19">
        <v>22</v>
      </c>
      <c r="W19" t="s">
        <v>1443</v>
      </c>
      <c r="Z19" t="s">
        <v>189</v>
      </c>
      <c r="AB19" s="55" t="s">
        <v>334</v>
      </c>
      <c r="AC19" s="55" t="s">
        <v>2438</v>
      </c>
      <c r="AG19" s="24" t="s">
        <v>1626</v>
      </c>
      <c r="AI19" t="s">
        <v>5051</v>
      </c>
      <c r="AL19" t="str">
        <f>IF(SexePerso="Féminin","Banquière/ Courtière d'assurances",IF('Perso Reloaded'!$C$6="Féminin","Banquière/ Courtière d'assurances","Banquier/ Courtier d'assurances"))</f>
        <v>Banquier/ Courtier d'assurances</v>
      </c>
      <c r="AM19" t="s">
        <v>145</v>
      </c>
      <c r="AQ19" s="111" t="s">
        <v>3895</v>
      </c>
      <c r="BJ19" t="s">
        <v>3055</v>
      </c>
      <c r="BK19" s="53" t="s">
        <v>16</v>
      </c>
      <c r="BL19" t="s">
        <v>2256</v>
      </c>
      <c r="BM19" s="180" t="s">
        <v>2511</v>
      </c>
      <c r="BN19" t="s">
        <v>4474</v>
      </c>
      <c r="BO19" s="65" t="s">
        <v>4476</v>
      </c>
      <c r="BP19" s="53" t="s">
        <v>4482</v>
      </c>
    </row>
    <row r="20" spans="11:68" x14ac:dyDescent="0.3">
      <c r="P20" s="61">
        <v>1877</v>
      </c>
      <c r="V20">
        <v>23</v>
      </c>
      <c r="W20" t="s">
        <v>1444</v>
      </c>
      <c r="Z20" t="s">
        <v>182</v>
      </c>
      <c r="AB20" s="55" t="s">
        <v>333</v>
      </c>
      <c r="AC20" s="55" t="s">
        <v>2439</v>
      </c>
      <c r="AG20" s="24" t="s">
        <v>1621</v>
      </c>
      <c r="AI20" t="s">
        <v>5052</v>
      </c>
      <c r="AL20" t="str">
        <f>IF(SexePerso="Féminin","Barbière/ Coiffeuse",IF('Perso Reloaded'!$C$6="Féminin","Barbière/ Coiffeuse","Barbier/ Coiffeur"))</f>
        <v>Barbier/ Coiffeur</v>
      </c>
      <c r="AM20" t="s">
        <v>142</v>
      </c>
      <c r="AQ20" s="111" t="s">
        <v>3903</v>
      </c>
      <c r="BJ20" t="s">
        <v>11</v>
      </c>
      <c r="BK20" s="53" t="s">
        <v>3048</v>
      </c>
      <c r="BL20" t="s">
        <v>2257</v>
      </c>
      <c r="BM20" s="180" t="s">
        <v>2511</v>
      </c>
      <c r="BN20" t="s">
        <v>2428</v>
      </c>
      <c r="BO20" s="65" t="s">
        <v>2430</v>
      </c>
      <c r="BP20" s="53" t="s">
        <v>2429</v>
      </c>
    </row>
    <row r="21" spans="11:68" x14ac:dyDescent="0.3">
      <c r="P21" s="61">
        <v>1878</v>
      </c>
      <c r="V21">
        <v>24</v>
      </c>
      <c r="W21" t="s">
        <v>1445</v>
      </c>
      <c r="Z21" t="s">
        <v>190</v>
      </c>
      <c r="AB21" s="55" t="s">
        <v>332</v>
      </c>
      <c r="AC21" s="55" t="s">
        <v>2441</v>
      </c>
      <c r="AG21" s="24" t="s">
        <v>1657</v>
      </c>
      <c r="AI21" t="s">
        <v>5055</v>
      </c>
      <c r="AL21" t="str">
        <f>IF(SexePerso="Féminin","Batelière",IF('Perso Reloaded'!$C$6="Féminin","Batelière","Batelier"))</f>
        <v>Batelier</v>
      </c>
      <c r="AM21" t="s">
        <v>147</v>
      </c>
      <c r="AQ21" s="111" t="s">
        <v>3907</v>
      </c>
      <c r="BJ21" t="s">
        <v>46</v>
      </c>
      <c r="BK21" s="53" t="s">
        <v>1728</v>
      </c>
      <c r="BL21" t="s">
        <v>2258</v>
      </c>
      <c r="BM21" s="180" t="s">
        <v>2511</v>
      </c>
      <c r="BN21" t="s">
        <v>4529</v>
      </c>
      <c r="BO21" s="65" t="s">
        <v>4530</v>
      </c>
      <c r="BP21" s="53" t="s">
        <v>4528</v>
      </c>
    </row>
    <row r="22" spans="11:68" x14ac:dyDescent="0.3">
      <c r="P22" s="61">
        <v>1879</v>
      </c>
      <c r="V22">
        <v>25</v>
      </c>
      <c r="W22" t="s">
        <v>1446</v>
      </c>
      <c r="Z22" t="s">
        <v>191</v>
      </c>
      <c r="AB22" s="55" t="s">
        <v>331</v>
      </c>
      <c r="AC22" s="55" t="s">
        <v>4461</v>
      </c>
      <c r="AG22" t="s">
        <v>1700</v>
      </c>
      <c r="AI22" t="s">
        <v>5054</v>
      </c>
      <c r="AL22" t="str">
        <f>IF(SexePerso="Féminin","Batelière/ Amuseuse",IF('Perso Reloaded'!$C$6="Féminin","Batelière/ Amuseuse","Batelier/ Amuseur"))</f>
        <v>Batelier/ Amuseur</v>
      </c>
      <c r="AM22" t="s">
        <v>140</v>
      </c>
      <c r="AQ22" s="111" t="s">
        <v>3908</v>
      </c>
      <c r="BJ22" t="s">
        <v>3056</v>
      </c>
      <c r="BK22" s="53" t="s">
        <v>16</v>
      </c>
      <c r="BL22" t="s">
        <v>2259</v>
      </c>
      <c r="BM22" s="180" t="s">
        <v>2513</v>
      </c>
      <c r="BN22" t="s">
        <v>4477</v>
      </c>
      <c r="BO22" s="66" t="s">
        <v>4479</v>
      </c>
      <c r="BP22" s="53" t="s">
        <v>4482</v>
      </c>
    </row>
    <row r="23" spans="11:68" x14ac:dyDescent="0.3">
      <c r="P23" s="61">
        <v>1880</v>
      </c>
      <c r="V23">
        <v>26</v>
      </c>
      <c r="W23" t="s">
        <v>1447</v>
      </c>
      <c r="Z23" t="s">
        <v>192</v>
      </c>
      <c r="AB23" s="55" t="s">
        <v>330</v>
      </c>
      <c r="AC23" s="55" t="s">
        <v>1901</v>
      </c>
      <c r="AG23" t="s">
        <v>1664</v>
      </c>
      <c r="AI23" t="s">
        <v>5053</v>
      </c>
      <c r="AL23" t="str">
        <f>IF(SexePerso="Féminin","Blanchisseuse/ Teinturière",IF('Perso Reloaded'!$C$6="Féminin","Blanchisseuse/ Teinturière","Blanchisseur/ Teinturier"))</f>
        <v>Blanchisseur/ Teinturier</v>
      </c>
      <c r="AM23" t="s">
        <v>142</v>
      </c>
      <c r="AQ23" s="111" t="s">
        <v>3882</v>
      </c>
      <c r="BJ23" t="s">
        <v>3057</v>
      </c>
      <c r="BK23" s="53" t="s">
        <v>3048</v>
      </c>
      <c r="BL23" t="s">
        <v>2261</v>
      </c>
      <c r="BM23" s="180" t="s">
        <v>2513</v>
      </c>
      <c r="BN23" t="s">
        <v>4563</v>
      </c>
      <c r="BO23" s="65" t="s">
        <v>4564</v>
      </c>
      <c r="BP23" s="53" t="s">
        <v>4565</v>
      </c>
    </row>
    <row r="24" spans="11:68" x14ac:dyDescent="0.3">
      <c r="P24" s="61">
        <v>1881</v>
      </c>
      <c r="V24">
        <v>27</v>
      </c>
      <c r="W24" t="s">
        <v>1448</v>
      </c>
      <c r="Z24" t="s">
        <v>181</v>
      </c>
      <c r="AB24" t="str">
        <f>IF(OR('Perso Classic'!C6="Féminin",'Perso Reloaded'!C6="Féminin"),"Jambes Sublimes","")</f>
        <v/>
      </c>
      <c r="AC24" s="55" t="s">
        <v>1904</v>
      </c>
      <c r="AG24" t="s">
        <v>1665</v>
      </c>
      <c r="AI24" t="s">
        <v>4660</v>
      </c>
      <c r="AL24" t="str">
        <f>IF(SexePerso="Féminin","Bouchère/ Equarrisseuse",IF('Perso Reloaded'!$C$6="Féminin","Bouchère/ Equarrisseuse","Boucher/ Equarrisseur"))</f>
        <v>Boucher/ Equarrisseur</v>
      </c>
      <c r="AM24" t="s">
        <v>142</v>
      </c>
      <c r="AQ24" s="111" t="s">
        <v>3902</v>
      </c>
      <c r="BJ24" t="s">
        <v>3058</v>
      </c>
      <c r="BK24" s="53" t="s">
        <v>3048</v>
      </c>
      <c r="BL24" t="s">
        <v>2260</v>
      </c>
      <c r="BM24" s="180" t="s">
        <v>2513</v>
      </c>
      <c r="BN24" t="s">
        <v>2371</v>
      </c>
      <c r="BO24" s="65" t="s">
        <v>2373</v>
      </c>
      <c r="BP24" s="53" t="s">
        <v>2374</v>
      </c>
    </row>
    <row r="25" spans="11:68" x14ac:dyDescent="0.3">
      <c r="P25" s="61">
        <v>1882</v>
      </c>
      <c r="V25">
        <v>28</v>
      </c>
      <c r="W25" t="s">
        <v>1449</v>
      </c>
      <c r="Z25" t="s">
        <v>193</v>
      </c>
      <c r="AB25" s="55" t="s">
        <v>329</v>
      </c>
      <c r="AC25" s="55" t="s">
        <v>1902</v>
      </c>
      <c r="AG25" t="s">
        <v>1688</v>
      </c>
      <c r="AI25" t="s">
        <v>351</v>
      </c>
      <c r="AL25" t="str">
        <f>IF(SexePerso="Féminin","Bourgeoise",IF('Perso Reloaded'!$C$6="Féminin","Bourgeoise","Bourgeois"))</f>
        <v>Bourgeois</v>
      </c>
      <c r="AM25" t="s">
        <v>148</v>
      </c>
      <c r="AQ25" s="111" t="s">
        <v>3901</v>
      </c>
      <c r="BJ25" t="s">
        <v>3059</v>
      </c>
      <c r="BK25" s="53" t="s">
        <v>3048</v>
      </c>
      <c r="BL25" t="s">
        <v>2262</v>
      </c>
      <c r="BM25" s="180" t="s">
        <v>2513</v>
      </c>
      <c r="BN25" t="s">
        <v>4487</v>
      </c>
      <c r="BO25" s="65" t="s">
        <v>4488</v>
      </c>
      <c r="BP25" s="53" t="s">
        <v>4486</v>
      </c>
    </row>
    <row r="26" spans="11:68" x14ac:dyDescent="0.3">
      <c r="P26" s="61">
        <v>1883</v>
      </c>
      <c r="V26">
        <v>29</v>
      </c>
      <c r="W26" t="s">
        <v>1450</v>
      </c>
      <c r="Z26" t="s">
        <v>194</v>
      </c>
      <c r="AB26" s="55" t="s">
        <v>328</v>
      </c>
      <c r="AC26" s="55" t="s">
        <v>1903</v>
      </c>
      <c r="AG26" t="s">
        <v>1691</v>
      </c>
      <c r="AI26" t="s">
        <v>4656</v>
      </c>
      <c r="AL26" t="str">
        <f>IF(SexePerso="Féminin","Bourrelière/ Celière/ Tanneuse",IF('Perso Reloaded'!$C$6="Féminin","Bourrelière/ Celière/ Tanneuse","Bourrelier/ Celier/ Tanneur"))</f>
        <v>Bourrelier/ Celier/ Tanneur</v>
      </c>
      <c r="AM26" t="s">
        <v>142</v>
      </c>
      <c r="AQ26" s="111" t="s">
        <v>3909</v>
      </c>
      <c r="BJ26" t="s">
        <v>3060</v>
      </c>
      <c r="BK26" s="53" t="s">
        <v>3048</v>
      </c>
      <c r="BL26" t="s">
        <v>2263</v>
      </c>
      <c r="BM26" s="180" t="s">
        <v>2514</v>
      </c>
      <c r="BN26" t="s">
        <v>2340</v>
      </c>
      <c r="BO26" s="65" t="s">
        <v>2341</v>
      </c>
      <c r="BP26" s="53" t="s">
        <v>2339</v>
      </c>
    </row>
    <row r="27" spans="11:68" x14ac:dyDescent="0.3">
      <c r="P27" s="61">
        <v>1884</v>
      </c>
      <c r="V27">
        <v>30</v>
      </c>
      <c r="W27" t="s">
        <v>1451</v>
      </c>
      <c r="Z27" t="s">
        <v>195</v>
      </c>
      <c r="AB27" s="55" t="s">
        <v>327</v>
      </c>
      <c r="AC27" s="55" t="s">
        <v>1905</v>
      </c>
      <c r="AG27" t="s">
        <v>1702</v>
      </c>
      <c r="AI27" t="s">
        <v>2463</v>
      </c>
      <c r="AL27" t="str">
        <f>IF(SexePerso="Féminin","Brasseure/ Distilleuse",IF('Perso Reloaded'!$C$6="Féminin","Brasseure/ Distilleuse","Brasseur/ Distillateur"))</f>
        <v>Brasseur/ Distillateur</v>
      </c>
      <c r="AM27" t="s">
        <v>142</v>
      </c>
      <c r="AQ27" s="111" t="s">
        <v>3893</v>
      </c>
      <c r="BJ27" t="s">
        <v>3061</v>
      </c>
      <c r="BK27" s="53" t="s">
        <v>3048</v>
      </c>
      <c r="BL27" t="s">
        <v>2264</v>
      </c>
      <c r="BM27" s="180" t="s">
        <v>2514</v>
      </c>
      <c r="BN27" t="s">
        <v>2386</v>
      </c>
      <c r="BO27" s="65" t="s">
        <v>2387</v>
      </c>
      <c r="BP27" s="53" t="s">
        <v>2388</v>
      </c>
    </row>
    <row r="28" spans="11:68" x14ac:dyDescent="0.3">
      <c r="P28" s="61">
        <v>1885</v>
      </c>
      <c r="V28">
        <v>31</v>
      </c>
      <c r="W28" t="s">
        <v>1452</v>
      </c>
      <c r="Z28" t="s">
        <v>196</v>
      </c>
      <c r="AB28" s="55" t="s">
        <v>326</v>
      </c>
      <c r="AC28" s="55" t="s">
        <v>1906</v>
      </c>
      <c r="AG28" t="s">
        <v>1696</v>
      </c>
      <c r="AI28" t="s">
        <v>1724</v>
      </c>
      <c r="AL28" t="str">
        <f>IF(SexePerso="Féminin","Brave indienne",IF('Perso Reloaded'!$C$6="Féminin","Brave indienne","Brave indien"))</f>
        <v>Brave indien</v>
      </c>
      <c r="AM28" t="s">
        <v>141</v>
      </c>
      <c r="AQ28" s="111" t="s">
        <v>3906</v>
      </c>
      <c r="BJ28" t="s">
        <v>3062</v>
      </c>
      <c r="BK28" s="53" t="s">
        <v>3048</v>
      </c>
      <c r="BL28" t="s">
        <v>2266</v>
      </c>
      <c r="BM28" s="180" t="s">
        <v>2514</v>
      </c>
      <c r="BN28" t="s">
        <v>4473</v>
      </c>
      <c r="BO28" s="65" t="s">
        <v>4475</v>
      </c>
      <c r="BP28" s="53" t="s">
        <v>4482</v>
      </c>
    </row>
    <row r="29" spans="11:68" x14ac:dyDescent="0.3">
      <c r="P29" s="61">
        <v>1886</v>
      </c>
      <c r="V29">
        <v>32</v>
      </c>
      <c r="W29" t="s">
        <v>1453</v>
      </c>
      <c r="Z29" t="s">
        <v>200</v>
      </c>
      <c r="AB29" t="str">
        <f>IF(OR('Perso Classic'!C6="Féminin",'Perso Reloaded'!C6="Féminin"),"Hanches Marquées","")</f>
        <v/>
      </c>
      <c r="AC29" s="55" t="s">
        <v>1920</v>
      </c>
      <c r="AG29" t="s">
        <v>1697</v>
      </c>
      <c r="AI29" t="s">
        <v>2106</v>
      </c>
      <c r="AL29" t="str">
        <f>IF(SexePerso="Féminin","Bûcheronne",IF('Perso Reloaded'!$C$6="Féminin","Bûcheronne","Bûcheron"))</f>
        <v>Bûcheron</v>
      </c>
      <c r="AM29" t="s">
        <v>146</v>
      </c>
      <c r="AQ29" s="111" t="s">
        <v>3881</v>
      </c>
      <c r="BJ29" t="str">
        <f>IF(Calc!U27=TRUE,"Sorcellerie","")</f>
        <v/>
      </c>
      <c r="BK29" s="53" t="s">
        <v>1728</v>
      </c>
      <c r="BL29" t="s">
        <v>2265</v>
      </c>
      <c r="BM29" s="180" t="s">
        <v>2514</v>
      </c>
      <c r="BN29" t="s">
        <v>2422</v>
      </c>
      <c r="BO29" s="65" t="s">
        <v>2424</v>
      </c>
      <c r="BP29" s="53" t="s">
        <v>2414</v>
      </c>
    </row>
    <row r="30" spans="11:68" x14ac:dyDescent="0.3">
      <c r="P30" s="61">
        <v>1887</v>
      </c>
      <c r="V30">
        <v>33</v>
      </c>
      <c r="W30" t="s">
        <v>1454</v>
      </c>
      <c r="Z30" t="s">
        <v>201</v>
      </c>
      <c r="AB30" s="55" t="s">
        <v>325</v>
      </c>
      <c r="AC30" s="55" t="s">
        <v>1919</v>
      </c>
      <c r="AG30" t="s">
        <v>1690</v>
      </c>
      <c r="AI30" t="s">
        <v>4662</v>
      </c>
      <c r="AL30" t="str">
        <f>IF(SexePerso="Féminin","Cafetière/ Tenancière de Saloon",IF('Perso Reloaded'!$C$6="Féminin","Cafetière/ Tenancière de Saloon","Cafetier/ Tenancier de Saloon"))</f>
        <v>Cafetier/ Tenancier de Saloon</v>
      </c>
      <c r="AM30" t="s">
        <v>142</v>
      </c>
      <c r="AQ30" s="111" t="s">
        <v>3897</v>
      </c>
      <c r="BJ30" t="s">
        <v>41</v>
      </c>
      <c r="BK30" s="53" t="s">
        <v>3048</v>
      </c>
      <c r="BL30" t="s">
        <v>2267</v>
      </c>
      <c r="BM30" s="180" t="s">
        <v>2514</v>
      </c>
      <c r="BN30" t="s">
        <v>2372</v>
      </c>
      <c r="BO30" s="66" t="s">
        <v>2377</v>
      </c>
      <c r="BP30" s="53" t="s">
        <v>2374</v>
      </c>
    </row>
    <row r="31" spans="11:68" x14ac:dyDescent="0.3">
      <c r="P31" s="61">
        <v>1888</v>
      </c>
      <c r="V31">
        <v>34</v>
      </c>
      <c r="W31" t="s">
        <v>1455</v>
      </c>
      <c r="Z31" t="s">
        <v>202</v>
      </c>
      <c r="AB31" s="55" t="s">
        <v>324</v>
      </c>
      <c r="AC31" s="55" t="s">
        <v>1918</v>
      </c>
      <c r="AG31" t="s">
        <v>1689</v>
      </c>
      <c r="AI31" t="s">
        <v>138</v>
      </c>
      <c r="AL31" t="str">
        <f>IF(SexePerso="Féminin","Carreleuse/ Couvreuse",IF('Perso Reloaded'!$C$6="Féminin","Carreleuse/ Couvreuse","Carreleur/ Couvreur"))</f>
        <v>Carreleur/ Couvreur</v>
      </c>
      <c r="AM31" t="s">
        <v>142</v>
      </c>
      <c r="AQ31" s="111" t="s">
        <v>3900</v>
      </c>
      <c r="BJ31" t="s">
        <v>3063</v>
      </c>
      <c r="BK31" s="53" t="s">
        <v>16</v>
      </c>
      <c r="BL31" t="s">
        <v>2268</v>
      </c>
      <c r="BM31" s="180" t="s">
        <v>2515</v>
      </c>
      <c r="BN31" t="s">
        <v>4480</v>
      </c>
      <c r="BO31" s="65" t="s">
        <v>4495</v>
      </c>
      <c r="BP31" s="53" t="s">
        <v>4481</v>
      </c>
    </row>
    <row r="32" spans="11:68" x14ac:dyDescent="0.3">
      <c r="P32" s="61">
        <v>1889</v>
      </c>
      <c r="V32">
        <v>35</v>
      </c>
      <c r="W32" t="s">
        <v>1456</v>
      </c>
      <c r="Z32" t="s">
        <v>203</v>
      </c>
      <c r="AB32" s="55" t="s">
        <v>323</v>
      </c>
      <c r="AG32" s="24" t="s">
        <v>5022</v>
      </c>
      <c r="AI32" t="s">
        <v>86</v>
      </c>
      <c r="AL32" t="str">
        <f>IF(SexePerso="Féminin","Chamanne",IF('Perso Reloaded'!$C$6="Féminin","Chamanne","Chaman"))</f>
        <v>Chaman</v>
      </c>
      <c r="AM32" t="s">
        <v>143</v>
      </c>
      <c r="AQ32" s="111" t="s">
        <v>3883</v>
      </c>
      <c r="BJ32" t="s">
        <v>48</v>
      </c>
      <c r="BK32" s="53" t="s">
        <v>1728</v>
      </c>
      <c r="BL32" t="s">
        <v>2269</v>
      </c>
      <c r="BM32" s="180" t="s">
        <v>2515</v>
      </c>
      <c r="BN32" t="s">
        <v>2355</v>
      </c>
      <c r="BO32" s="65" t="s">
        <v>2358</v>
      </c>
      <c r="BP32" s="53" t="s">
        <v>2357</v>
      </c>
    </row>
    <row r="33" spans="16:68" x14ac:dyDescent="0.3">
      <c r="P33" s="61">
        <v>1890</v>
      </c>
      <c r="V33">
        <v>36</v>
      </c>
      <c r="W33" t="s">
        <v>1457</v>
      </c>
      <c r="AB33" s="55" t="s">
        <v>322</v>
      </c>
      <c r="AC33" s="55"/>
      <c r="AG33" t="s">
        <v>5023</v>
      </c>
      <c r="AI33" t="s">
        <v>137</v>
      </c>
      <c r="AL33" t="str">
        <f>IF(SexePerso="Féminin","Chapelière/ Modiste",IF('Perso Reloaded'!$C$6="Féminin","Chapelière/ Modiste","Chapelier/ Modiste"))</f>
        <v>Chapelier/ Modiste</v>
      </c>
      <c r="AM33" t="s">
        <v>142</v>
      </c>
      <c r="AQ33" s="111" t="s">
        <v>3886</v>
      </c>
      <c r="BJ33" t="str">
        <f>IF(sciencefolle=TRUE,"Science Folle","")</f>
        <v/>
      </c>
      <c r="BK33" s="53" t="s">
        <v>3048</v>
      </c>
      <c r="BN33" t="s">
        <v>2389</v>
      </c>
      <c r="BO33" s="65" t="s">
        <v>2390</v>
      </c>
      <c r="BP33" s="53" t="s">
        <v>2388</v>
      </c>
    </row>
    <row r="34" spans="16:68" x14ac:dyDescent="0.3">
      <c r="P34" s="61">
        <v>1891</v>
      </c>
      <c r="V34">
        <v>37</v>
      </c>
      <c r="W34" t="s">
        <v>1458</v>
      </c>
      <c r="AB34" s="55" t="s">
        <v>321</v>
      </c>
      <c r="AC34" s="55"/>
      <c r="AG34" t="s">
        <v>4460</v>
      </c>
      <c r="AI34" t="s">
        <v>4661</v>
      </c>
      <c r="AL34" t="str">
        <f>IF(SexePerso="Féminin","Charbonnière",IF('Perso Reloaded'!$C$6="Féminin","Charbonnière","Charbonnier"))</f>
        <v>Charbonnier</v>
      </c>
      <c r="AM34" t="s">
        <v>146</v>
      </c>
      <c r="AQ34" s="111" t="s">
        <v>3892</v>
      </c>
      <c r="BJ34" t="str">
        <f>IF('Perso Reloaded'!L21="","",IF(Illumination=TRUE,'Perso Reloaded'!L21,""))</f>
        <v/>
      </c>
      <c r="BK34" s="53" t="s">
        <v>1728</v>
      </c>
      <c r="BN34" t="s">
        <v>2391</v>
      </c>
      <c r="BO34" s="65" t="s">
        <v>2396</v>
      </c>
      <c r="BP34" s="53" t="s">
        <v>2395</v>
      </c>
    </row>
    <row r="35" spans="16:68" x14ac:dyDescent="0.3">
      <c r="P35" s="61">
        <v>1892</v>
      </c>
      <c r="V35">
        <v>38</v>
      </c>
      <c r="W35" t="s">
        <v>1459</v>
      </c>
      <c r="AB35" s="55" t="s">
        <v>320</v>
      </c>
      <c r="AC35" s="55"/>
      <c r="AG35" t="s">
        <v>4458</v>
      </c>
      <c r="AL35" t="str">
        <f>IF(SexePerso="Féminin","Charpentère navale",IF('Perso Reloaded'!$C$6="Féminin","Charpentère navale","Charpentier naval"))</f>
        <v>Charpentier naval</v>
      </c>
      <c r="AM35" t="s">
        <v>4664</v>
      </c>
      <c r="AQ35" s="111" t="s">
        <v>3898</v>
      </c>
      <c r="BJ35" t="str">
        <f>IF('Perso Reloaded'!L22="","",IF(Illumination=TRUE,'Perso Reloaded'!L22,""))</f>
        <v/>
      </c>
      <c r="BK35" s="53" t="s">
        <v>1728</v>
      </c>
      <c r="BN35" t="s">
        <v>4560</v>
      </c>
      <c r="BO35" s="65" t="s">
        <v>4561</v>
      </c>
      <c r="BP35" s="53" t="s">
        <v>4562</v>
      </c>
    </row>
    <row r="36" spans="16:68" x14ac:dyDescent="0.3">
      <c r="P36" s="61">
        <v>1893</v>
      </c>
      <c r="V36">
        <v>39</v>
      </c>
      <c r="W36" t="s">
        <v>1460</v>
      </c>
      <c r="AB36" s="55" t="s">
        <v>319</v>
      </c>
      <c r="AC36" s="55"/>
      <c r="AG36" t="s">
        <v>4459</v>
      </c>
      <c r="AL36" t="str">
        <f>IF(SexePerso="Féminin","Charpentière/ Menuisière/ Ebéniste",IF('Perso Reloaded'!$C$6="Féminin","Charpentière/ Menuisière/ Ebéniste","Charpentier/ Menuisier/ Ebéniste"))</f>
        <v>Charpentier/ Menuisier/ Ebéniste</v>
      </c>
      <c r="AM36" t="s">
        <v>4664</v>
      </c>
      <c r="BJ36" t="str">
        <f>IF('Perso Reloaded'!L23="","",IF(Illumination=TRUE,'Perso Reloaded'!L23,""))</f>
        <v/>
      </c>
      <c r="BK36" s="53" t="s">
        <v>1728</v>
      </c>
      <c r="BN36" t="s">
        <v>2356</v>
      </c>
      <c r="BO36" s="65" t="s">
        <v>2359</v>
      </c>
      <c r="BP36" s="53" t="s">
        <v>2357</v>
      </c>
    </row>
    <row r="37" spans="16:68" x14ac:dyDescent="0.3">
      <c r="P37" s="61">
        <v>1894</v>
      </c>
      <c r="V37">
        <v>40</v>
      </c>
      <c r="W37" t="s">
        <v>1461</v>
      </c>
      <c r="AB37" t="str">
        <f>IF(OR('Perso Classic'!C6="Féminin",'Perso Reloaded'!C6="Féminin"),"Poitrine généreuse","")</f>
        <v/>
      </c>
      <c r="AG37" t="s">
        <v>5027</v>
      </c>
      <c r="AL37" t="str">
        <f>IF(SexePerso="Féminin","Charretière/ Cochère/Chauffeuse/ Roulière",IF('Perso Reloaded'!$C$6="Féminin","Charretière/ Cochère/Chauffeuse/ Roulière","Charretier/ Cocher/Chauffeur/ Roulier"))</f>
        <v>Charretier/ Cocher/Chauffeur/ Roulier</v>
      </c>
      <c r="AM37" t="s">
        <v>147</v>
      </c>
      <c r="BJ37" t="str">
        <f>IF('Perso Reloaded'!L24="","",IF(Illumination=TRUE,'Perso Reloaded'!L24,""))</f>
        <v/>
      </c>
      <c r="BK37" s="53" t="s">
        <v>1728</v>
      </c>
      <c r="BN37" t="s">
        <v>2423</v>
      </c>
      <c r="BO37" s="65" t="s">
        <v>2425</v>
      </c>
      <c r="BP37" s="53" t="s">
        <v>2414</v>
      </c>
    </row>
    <row r="38" spans="16:68" x14ac:dyDescent="0.3">
      <c r="P38" s="61">
        <v>1895</v>
      </c>
      <c r="V38">
        <v>41</v>
      </c>
      <c r="W38" t="s">
        <v>1462</v>
      </c>
      <c r="AB38" t="str">
        <f>IF(OR('Perso Classic'!C6="Féminin",'Perso Reloaded'!C6="Féminin"),"Poitrine plate","")</f>
        <v/>
      </c>
      <c r="AG38" t="s">
        <v>1704</v>
      </c>
      <c r="AL38" t="str">
        <f>IF(SexePerso="Féminin","Chasseuse de Primes",IF('Perso Reloaded'!$C$6="Féminin","Chasseuse de Primes","Chasseur de Primes"))</f>
        <v>Chasseur de Primes</v>
      </c>
      <c r="AM38" t="s">
        <v>4665</v>
      </c>
      <c r="BJ38" t="str">
        <f>IF('Perso Reloaded'!L25="","",IF(Illumination=TRUE,'Perso Reloaded'!L25,""))</f>
        <v/>
      </c>
      <c r="BK38" s="53" t="s">
        <v>1728</v>
      </c>
      <c r="BN38" t="s">
        <v>5008</v>
      </c>
      <c r="BO38" s="65" t="s">
        <v>5009</v>
      </c>
      <c r="BP38" s="53" t="s">
        <v>5007</v>
      </c>
    </row>
    <row r="39" spans="16:68" x14ac:dyDescent="0.3">
      <c r="P39" s="61">
        <v>1896</v>
      </c>
      <c r="V39">
        <v>42</v>
      </c>
      <c r="W39" t="s">
        <v>1463</v>
      </c>
      <c r="AB39" s="55" t="s">
        <v>318</v>
      </c>
      <c r="AC39" s="55"/>
      <c r="AG39" t="s">
        <v>1710</v>
      </c>
      <c r="AL39" t="str">
        <f>IF(SexePerso="Féminin","Chasseuse /Trappeuse",IF('Perso Reloaded'!$C$6="Féminin","Chasseuse/ Trappeuse","Chasseur/ Trappeur"))</f>
        <v>Chasseur/ Trappeur</v>
      </c>
      <c r="AM39" t="s">
        <v>146</v>
      </c>
      <c r="BJ39" t="str">
        <f>IF('Perso Reloaded'!L26="","",IF(Illumination=TRUE,'Perso Reloaded'!L26,""))</f>
        <v/>
      </c>
      <c r="BK39" s="53" t="s">
        <v>1728</v>
      </c>
      <c r="BN39" t="s">
        <v>2343</v>
      </c>
      <c r="BO39" s="65" t="s">
        <v>2344</v>
      </c>
      <c r="BP39" s="53" t="s">
        <v>2342</v>
      </c>
    </row>
    <row r="40" spans="16:68" x14ac:dyDescent="0.3">
      <c r="P40" s="61">
        <v>1897</v>
      </c>
      <c r="V40">
        <v>43</v>
      </c>
      <c r="W40" t="s">
        <v>1464</v>
      </c>
      <c r="AB40" s="55" t="s">
        <v>317</v>
      </c>
      <c r="AC40" s="55"/>
      <c r="AG40" t="s">
        <v>1695</v>
      </c>
      <c r="AL40" t="str">
        <f>IF(SexePerso="Féminin","Cheffe de tribu",IF('Perso Reloaded'!$C$6="Féminin","Cheffe de tribu","Chef de tribu"))</f>
        <v>Chef de tribu</v>
      </c>
      <c r="AM40" t="s">
        <v>149</v>
      </c>
      <c r="BJ40" t="str">
        <f>IF('Perso Reloaded'!L27="","",IF(Illumination=TRUE,'Perso Reloaded'!L27,""))</f>
        <v/>
      </c>
      <c r="BK40" s="53" t="s">
        <v>1728</v>
      </c>
      <c r="BN40" t="s">
        <v>2409</v>
      </c>
      <c r="BO40" s="65" t="s">
        <v>2410</v>
      </c>
      <c r="BP40" s="53" t="s">
        <v>2411</v>
      </c>
    </row>
    <row r="41" spans="16:68" x14ac:dyDescent="0.3">
      <c r="P41" s="61">
        <v>1898</v>
      </c>
      <c r="V41">
        <v>44</v>
      </c>
      <c r="W41" t="s">
        <v>1465</v>
      </c>
      <c r="AB41" s="55" t="s">
        <v>316</v>
      </c>
      <c r="AC41" s="55"/>
      <c r="AG41" t="s">
        <v>1705</v>
      </c>
      <c r="AL41" t="str">
        <f>IF(SexePerso="Féminin","Chiffonière",IF('Perso Reloaded'!$C$6="Féminin","Chiffonière","Chiffonier"))</f>
        <v>Chiffonier</v>
      </c>
      <c r="AM41" t="s">
        <v>142</v>
      </c>
      <c r="BJ41" t="str">
        <f>IF('Perso Reloaded'!L28="","",IF(Illumination=TRUE,'Perso Reloaded'!L28,""))</f>
        <v/>
      </c>
      <c r="BK41" s="53" t="s">
        <v>1728</v>
      </c>
      <c r="BN41" t="s">
        <v>2364</v>
      </c>
      <c r="BO41" s="65" t="s">
        <v>2366</v>
      </c>
      <c r="BP41" s="53" t="s">
        <v>2362</v>
      </c>
    </row>
    <row r="42" spans="16:68" x14ac:dyDescent="0.3">
      <c r="P42" s="61">
        <v>1899</v>
      </c>
      <c r="V42">
        <v>45</v>
      </c>
      <c r="W42" t="s">
        <v>1466</v>
      </c>
      <c r="AB42" s="55" t="s">
        <v>315</v>
      </c>
      <c r="AC42" s="55"/>
      <c r="AG42" s="24" t="s">
        <v>1619</v>
      </c>
      <c r="AL42" t="str">
        <f>IF(SexePerso="Féminin","Chirurgienne",IF('Perso Reloaded'!$C$6="Féminin","Chirurgienne","Chirurgien"))</f>
        <v>Chirurgien</v>
      </c>
      <c r="AM42" t="s">
        <v>143</v>
      </c>
      <c r="BJ42" t="str">
        <f>IF('Perso Reloaded'!L29="","",IF(Illumination=TRUE,'Perso Reloaded'!L29,""))</f>
        <v/>
      </c>
      <c r="BK42" s="53" t="s">
        <v>1728</v>
      </c>
      <c r="BN42" t="s">
        <v>4526</v>
      </c>
      <c r="BO42" s="65" t="s">
        <v>4527</v>
      </c>
      <c r="BP42" s="53" t="s">
        <v>4528</v>
      </c>
    </row>
    <row r="43" spans="16:68" x14ac:dyDescent="0.3">
      <c r="P43" s="61">
        <v>1900</v>
      </c>
      <c r="V43">
        <v>46</v>
      </c>
      <c r="W43" t="s">
        <v>1467</v>
      </c>
      <c r="AB43" s="55" t="s">
        <v>349</v>
      </c>
      <c r="AC43" s="55"/>
      <c r="AG43" t="s">
        <v>1663</v>
      </c>
      <c r="AL43" t="str">
        <f>IF(SexePerso="Féminin","Collectrice de taxes/ Perceptrice",IF('Perso Reloaded'!$C$6="Féminin","Collectrice de taxes/ Perceptrice","Collecteur de taxes/ Percepteur"))</f>
        <v>Collecteur de taxes/ Percepteur</v>
      </c>
      <c r="AM43" t="s">
        <v>145</v>
      </c>
      <c r="BJ43" t="str">
        <f>IF('Perso Reloaded'!L30="","",IF(Illumination=TRUE,'Perso Reloaded'!L30,""))</f>
        <v/>
      </c>
      <c r="BK43" s="53" t="s">
        <v>1728</v>
      </c>
      <c r="BN43" t="s">
        <v>4523</v>
      </c>
      <c r="BO43" s="65" t="s">
        <v>4525</v>
      </c>
      <c r="BP43" s="53" t="s">
        <v>4524</v>
      </c>
    </row>
    <row r="44" spans="16:68" x14ac:dyDescent="0.3">
      <c r="V44">
        <v>47</v>
      </c>
      <c r="W44" t="s">
        <v>1468</v>
      </c>
      <c r="AB44" s="55" t="s">
        <v>350</v>
      </c>
      <c r="AC44" s="55"/>
      <c r="AG44" t="s">
        <v>1667</v>
      </c>
      <c r="AL44" t="s">
        <v>4640</v>
      </c>
      <c r="AM44" t="s">
        <v>145</v>
      </c>
      <c r="BJ44" t="str">
        <f>IF('Perso Reloaded'!L31="","",IF(Illumination=TRUE,'Perso Reloaded'!L31,""))</f>
        <v/>
      </c>
      <c r="BK44" s="53" t="s">
        <v>1728</v>
      </c>
      <c r="BN44" t="s">
        <v>2392</v>
      </c>
      <c r="BO44" s="65" t="s">
        <v>2397</v>
      </c>
      <c r="BP44" s="53" t="s">
        <v>2395</v>
      </c>
    </row>
    <row r="45" spans="16:68" x14ac:dyDescent="0.3">
      <c r="V45">
        <v>48</v>
      </c>
      <c r="W45" t="s">
        <v>1469</v>
      </c>
      <c r="AB45" s="55" t="s">
        <v>314</v>
      </c>
      <c r="AC45" s="55"/>
      <c r="AG45" t="s">
        <v>1662</v>
      </c>
      <c r="AL45" t="s">
        <v>4651</v>
      </c>
      <c r="AM45" t="s">
        <v>148</v>
      </c>
      <c r="BJ45" t="str">
        <f>IF('Perso Reloaded'!L32="","",IF(Illumination=TRUE,'Perso Reloaded'!L32,""))</f>
        <v/>
      </c>
      <c r="BK45" s="53" t="s">
        <v>1728</v>
      </c>
      <c r="BN45" t="s">
        <v>2393</v>
      </c>
      <c r="BO45" s="65" t="s">
        <v>4540</v>
      </c>
      <c r="BP45" s="53" t="s">
        <v>2395</v>
      </c>
    </row>
    <row r="46" spans="16:68" x14ac:dyDescent="0.3">
      <c r="V46">
        <v>49</v>
      </c>
      <c r="W46" t="s">
        <v>1470</v>
      </c>
      <c r="AB46" s="55" t="s">
        <v>313</v>
      </c>
      <c r="AC46" s="55"/>
      <c r="AG46" t="s">
        <v>5038</v>
      </c>
      <c r="AL46" t="str">
        <f>IF(SexePerso="Féminin","Contrebandière/ Passeuse",IF('Perso Reloaded'!$C$6="Féminin","Contrebandière/ Passeuse","Contrebandier/ Passeur"))</f>
        <v>Contrebandier/ Passeur</v>
      </c>
      <c r="AM46" t="s">
        <v>4665</v>
      </c>
      <c r="BJ46" t="str">
        <f>IF('Perso Reloaded'!L33="","",IF(Illumination=TRUE,'Perso Reloaded'!L33,""))</f>
        <v/>
      </c>
      <c r="BK46" s="53" t="s">
        <v>1728</v>
      </c>
      <c r="BN46" t="s">
        <v>2415</v>
      </c>
      <c r="BO46" s="65" t="s">
        <v>2416</v>
      </c>
      <c r="BP46" s="53" t="s">
        <v>2414</v>
      </c>
    </row>
    <row r="47" spans="16:68" x14ac:dyDescent="0.3">
      <c r="V47">
        <v>50</v>
      </c>
      <c r="W47" t="s">
        <v>1471</v>
      </c>
      <c r="AB47" s="55" t="s">
        <v>312</v>
      </c>
      <c r="AC47" s="55"/>
      <c r="AG47" t="s">
        <v>1666</v>
      </c>
      <c r="AL47" t="s">
        <v>4641</v>
      </c>
      <c r="AM47" t="s">
        <v>4664</v>
      </c>
      <c r="BN47" t="s">
        <v>4574</v>
      </c>
      <c r="BO47" s="65" t="s">
        <v>4575</v>
      </c>
      <c r="BP47" s="53" t="s">
        <v>5016</v>
      </c>
    </row>
    <row r="48" spans="16:68" x14ac:dyDescent="0.3">
      <c r="V48">
        <v>51</v>
      </c>
      <c r="W48" t="s">
        <v>1472</v>
      </c>
      <c r="AB48" s="55" t="s">
        <v>311</v>
      </c>
      <c r="AC48" s="55"/>
      <c r="AG48" t="s">
        <v>1709</v>
      </c>
      <c r="AL48" t="str">
        <f>IF(SexePerso="Féminin","Cordonnière",IF('Perso Reloaded'!$C$6="Féminin","Cordonnière","Cordonnier"))</f>
        <v>Cordonnier</v>
      </c>
      <c r="AM48" t="s">
        <v>142</v>
      </c>
      <c r="BN48" t="s">
        <v>2345</v>
      </c>
      <c r="BO48" s="65" t="s">
        <v>2347</v>
      </c>
      <c r="BP48" s="53" t="s">
        <v>2346</v>
      </c>
    </row>
    <row r="49" spans="22:68" x14ac:dyDescent="0.3">
      <c r="V49">
        <v>52</v>
      </c>
      <c r="W49" t="s">
        <v>1473</v>
      </c>
      <c r="AB49" s="55" t="s">
        <v>310</v>
      </c>
      <c r="AC49" s="55"/>
      <c r="AG49" t="s">
        <v>1708</v>
      </c>
      <c r="AL49" t="str">
        <f>IF(SexePerso="Féminin","Coutelière",IF('Perso Reloaded'!$C$6="Féminin","Coutelière","Coutelier"))</f>
        <v>Coutelier</v>
      </c>
      <c r="AM49" t="s">
        <v>142</v>
      </c>
      <c r="BN49" t="s">
        <v>2375</v>
      </c>
      <c r="BO49" s="65" t="s">
        <v>2376</v>
      </c>
      <c r="BP49" s="53" t="s">
        <v>2374</v>
      </c>
    </row>
    <row r="50" spans="22:68" x14ac:dyDescent="0.3">
      <c r="V50">
        <v>53</v>
      </c>
      <c r="W50" t="s">
        <v>1474</v>
      </c>
      <c r="AB50" s="55" t="s">
        <v>1898</v>
      </c>
      <c r="AG50" t="s">
        <v>4467</v>
      </c>
      <c r="AL50" t="str">
        <f>IF(SexePerso="Féminin","Couturière/ Tailleuse/ Tisseranne",IF('Perso Reloaded'!$C$6="Féminin","Couturière/ Tailleuse/ Tisseranne","Couturier/ Tailleur/ Tisserand"))</f>
        <v>Couturier/ Tailleur/ Tisserand</v>
      </c>
      <c r="AM50" t="s">
        <v>142</v>
      </c>
      <c r="BN50" t="s">
        <v>2394</v>
      </c>
      <c r="BO50" s="65" t="s">
        <v>2398</v>
      </c>
      <c r="BP50" s="53" t="s">
        <v>2395</v>
      </c>
    </row>
    <row r="51" spans="22:68" x14ac:dyDescent="0.3">
      <c r="V51">
        <v>54</v>
      </c>
      <c r="W51" t="s">
        <v>1475</v>
      </c>
      <c r="AG51" t="s">
        <v>4468</v>
      </c>
      <c r="AL51" t="str">
        <f>IF(SexePerso="Féminin","Cowgirl/ Eleveuse",IF('Perso Reloaded'!$C$6="Féminin","Cowgirl/ Eleveuse","Cowboy/ Eleveur"))</f>
        <v>Cowboy/ Eleveur</v>
      </c>
      <c r="AM51" t="s">
        <v>146</v>
      </c>
      <c r="BN51" t="s">
        <v>4536</v>
      </c>
      <c r="BO51" s="65" t="s">
        <v>4537</v>
      </c>
      <c r="BP51" s="53" t="s">
        <v>4535</v>
      </c>
    </row>
    <row r="52" spans="22:68" x14ac:dyDescent="0.3">
      <c r="V52">
        <v>55</v>
      </c>
      <c r="W52" t="s">
        <v>1476</v>
      </c>
      <c r="AG52" t="s">
        <v>4469</v>
      </c>
      <c r="AL52" t="str">
        <f>IF(SexePerso="Féminin","Crémière/ Fromagère",IF('Perso Reloaded'!$C$6="Féminin","Crémière/ Fromagère","Crémier/ Fromager"))</f>
        <v>Crémier/ Fromager</v>
      </c>
      <c r="AM52" t="s">
        <v>142</v>
      </c>
      <c r="BN52" t="s">
        <v>2348</v>
      </c>
      <c r="BO52" s="65" t="s">
        <v>2350</v>
      </c>
      <c r="BP52" s="53" t="s">
        <v>2351</v>
      </c>
    </row>
    <row r="53" spans="22:68" x14ac:dyDescent="0.3">
      <c r="V53">
        <v>56</v>
      </c>
      <c r="W53" t="s">
        <v>1477</v>
      </c>
      <c r="AG53" t="s">
        <v>4464</v>
      </c>
      <c r="AL53" t="str">
        <f>IF(SexePerso="Féminin","Croquemort/ Embaumeuse/ Thanatopractrice",IF('Perso Reloaded'!$C$6="Féminin","Croquemort/ Embaumeuse/ Thanatopractrice","Croquemort/ Embaumeur/ Thanatopracteur"))</f>
        <v>Croquemort/ Embaumeur/ Thanatopracteur</v>
      </c>
      <c r="AM53" t="s">
        <v>142</v>
      </c>
      <c r="BN53" t="s">
        <v>2399</v>
      </c>
      <c r="BO53" s="65" t="s">
        <v>2403</v>
      </c>
      <c r="BP53" s="53" t="s">
        <v>2402</v>
      </c>
    </row>
    <row r="54" spans="22:68" x14ac:dyDescent="0.3">
      <c r="V54">
        <v>57</v>
      </c>
      <c r="W54" t="s">
        <v>1478</v>
      </c>
      <c r="AG54" t="s">
        <v>4470</v>
      </c>
      <c r="AL54" t="str">
        <f>IF(SexePerso="Féminin","Cuisinière/ Marmitonne",IF('Perso Reloaded'!$C$6="Féminin","Cuisinière/ Marmitonne","Cuisinier/ Marmiton"))</f>
        <v>Cuisinier/ Marmiton</v>
      </c>
      <c r="AM54" t="s">
        <v>142</v>
      </c>
      <c r="BN54" t="s">
        <v>4491</v>
      </c>
      <c r="BO54" s="65" t="s">
        <v>4499</v>
      </c>
      <c r="BP54" s="53" t="s">
        <v>4492</v>
      </c>
    </row>
    <row r="55" spans="22:68" x14ac:dyDescent="0.3">
      <c r="V55">
        <v>58</v>
      </c>
      <c r="W55" t="s">
        <v>1479</v>
      </c>
      <c r="AG55" t="s">
        <v>4463</v>
      </c>
      <c r="AL55" t="str">
        <f>IF(SexePerso="Féminin","Danseuse/ Chanteuse de cabaret",IF('Perso Reloaded'!$C$6="Féminin","Danseuse/ Chanteuse de cabaret","Danseur/ Chanteur de cabaret"))</f>
        <v>Danseur/ Chanteur de cabaret</v>
      </c>
      <c r="AM55" t="s">
        <v>140</v>
      </c>
      <c r="BN55" t="s">
        <v>2400</v>
      </c>
      <c r="BO55" s="65" t="s">
        <v>2404</v>
      </c>
      <c r="BP55" s="53" t="s">
        <v>2402</v>
      </c>
    </row>
    <row r="56" spans="22:68" x14ac:dyDescent="0.3">
      <c r="V56">
        <v>59</v>
      </c>
      <c r="W56" t="s">
        <v>1480</v>
      </c>
      <c r="AG56" t="s">
        <v>4465</v>
      </c>
      <c r="AL56" t="str">
        <f>IF(SexePerso="Féminin","Démagogue/ Prêcheuse de rue",IF('Perso Reloaded'!$C$6="Féminin","Démagogue/ Prêcheuse de rue","Démagogue/ Prêcheur de rue"))</f>
        <v>Démagogue/ Prêcheur de rue</v>
      </c>
      <c r="AM56" t="s">
        <v>1721</v>
      </c>
      <c r="BN56" t="s">
        <v>4532</v>
      </c>
      <c r="BO56" s="65" t="s">
        <v>4531</v>
      </c>
      <c r="BP56" s="53" t="s">
        <v>4528</v>
      </c>
    </row>
    <row r="57" spans="22:68" x14ac:dyDescent="0.3">
      <c r="V57">
        <v>60</v>
      </c>
      <c r="W57" t="s">
        <v>1481</v>
      </c>
      <c r="AG57" t="s">
        <v>4471</v>
      </c>
      <c r="AL57" t="str">
        <f>IF(SexePerso="Féminin","Détective/ Investigatrice",IF('Perso Reloaded'!$C$6="Féminin","Détective/ Investigatrice","Détective/ Investigateur"))</f>
        <v>Détective/ Investigateur</v>
      </c>
      <c r="AM57" t="s">
        <v>150</v>
      </c>
      <c r="BN57" t="s">
        <v>2401</v>
      </c>
      <c r="BO57" s="65" t="s">
        <v>2405</v>
      </c>
      <c r="BP57" s="53" t="s">
        <v>2402</v>
      </c>
    </row>
    <row r="58" spans="22:68" x14ac:dyDescent="0.3">
      <c r="V58">
        <v>61</v>
      </c>
      <c r="W58" t="s">
        <v>1482</v>
      </c>
      <c r="AG58" t="s">
        <v>4466</v>
      </c>
      <c r="AL58" t="s">
        <v>4642</v>
      </c>
      <c r="AM58" t="s">
        <v>149</v>
      </c>
      <c r="BN58" t="s">
        <v>4484</v>
      </c>
      <c r="BO58" s="65" t="s">
        <v>4485</v>
      </c>
      <c r="BP58" s="53" t="s">
        <v>4486</v>
      </c>
    </row>
    <row r="59" spans="22:68" x14ac:dyDescent="0.3">
      <c r="V59">
        <v>62</v>
      </c>
      <c r="W59" t="s">
        <v>1483</v>
      </c>
      <c r="AG59" t="s">
        <v>4472</v>
      </c>
      <c r="AL59" t="str">
        <f>IF(SexePerso="Féminin","Diplomate/ Ambassadrice",IF('Perso Reloaded'!$C$6="Féminin","Diplomate/ Ambassadrice","Diplomate/ Ambassadeur"))</f>
        <v>Diplomate/ Ambassadeur</v>
      </c>
      <c r="AM59" t="s">
        <v>149</v>
      </c>
      <c r="BN59" t="s">
        <v>2413</v>
      </c>
      <c r="BO59" s="65" t="s">
        <v>4478</v>
      </c>
      <c r="BP59" s="53" t="s">
        <v>2411</v>
      </c>
    </row>
    <row r="60" spans="22:68" x14ac:dyDescent="0.3">
      <c r="V60">
        <v>63</v>
      </c>
      <c r="W60" t="s">
        <v>1484</v>
      </c>
      <c r="AG60" t="s">
        <v>1674</v>
      </c>
      <c r="AL60" t="str">
        <f>IF(SexePerso="Féminin","Dresseuse d'ours",IF('Perso Reloaded'!$C$6="Féminin","Dresseuse d'ours","Dresseur d'ours"))</f>
        <v>Dresseur d'ours</v>
      </c>
      <c r="AM60" t="s">
        <v>146</v>
      </c>
      <c r="BN60" t="s">
        <v>2368</v>
      </c>
      <c r="BO60" s="65" t="s">
        <v>2370</v>
      </c>
      <c r="BP60" s="53" t="s">
        <v>2362</v>
      </c>
    </row>
    <row r="61" spans="22:68" x14ac:dyDescent="0.3">
      <c r="V61">
        <v>64</v>
      </c>
      <c r="W61" t="s">
        <v>1485</v>
      </c>
      <c r="AG61" t="s">
        <v>1677</v>
      </c>
      <c r="AL61" t="str">
        <f>IF(SexePerso="Féminin","Duelliste/ Pistoliera",IF('Perso Reloaded'!$C$6="Féminin","Duelliste/ Pistoliera","Duelliste/ Pistoliero"))</f>
        <v>Duelliste/ Pistoliero</v>
      </c>
      <c r="AM61" t="s">
        <v>4665</v>
      </c>
      <c r="BN61" t="s">
        <v>4566</v>
      </c>
      <c r="BO61" s="65" t="s">
        <v>4567</v>
      </c>
      <c r="BP61" s="53" t="s">
        <v>4565</v>
      </c>
    </row>
    <row r="62" spans="22:68" x14ac:dyDescent="0.3">
      <c r="V62">
        <v>65</v>
      </c>
      <c r="W62" t="s">
        <v>1486</v>
      </c>
      <c r="AG62" t="s">
        <v>1679</v>
      </c>
      <c r="AL62" t="str">
        <f>IF(SexePerso="Féminin","Eclaireuse indienne",IF('Perso Reloaded'!$C$6="Féminin","Eclaireuse indienne","Eclaireur indien"))</f>
        <v>Eclaireur indien</v>
      </c>
      <c r="AM62" t="s">
        <v>141</v>
      </c>
      <c r="BN62" t="s">
        <v>4570</v>
      </c>
      <c r="BO62" s="65" t="s">
        <v>4622</v>
      </c>
      <c r="BP62" s="53" t="s">
        <v>4572</v>
      </c>
    </row>
    <row r="63" spans="22:68" x14ac:dyDescent="0.3">
      <c r="V63">
        <v>66</v>
      </c>
      <c r="W63" t="s">
        <v>1487</v>
      </c>
      <c r="AG63" t="s">
        <v>1671</v>
      </c>
      <c r="AL63" t="str">
        <f>IF(SexePerso="Féminin","Ecrivainne/Auteure",IF('Perso Reloaded'!$C$6="Féminin","Ecrivainne/Auteure","Ecrivain/Auteur"))</f>
        <v>Ecrivain/Auteur</v>
      </c>
      <c r="AM63" t="s">
        <v>140</v>
      </c>
      <c r="BN63" t="s">
        <v>5017</v>
      </c>
      <c r="BO63" s="65" t="s">
        <v>5018</v>
      </c>
      <c r="BP63" s="53" t="s">
        <v>5019</v>
      </c>
    </row>
    <row r="64" spans="22:68" x14ac:dyDescent="0.3">
      <c r="V64">
        <v>67</v>
      </c>
      <c r="AG64" t="s">
        <v>1672</v>
      </c>
      <c r="AL64" t="str">
        <f>IF(SexePerso="Féminin","Employé des postes/télégraphes",IF('Perso Reloaded'!$C$6="Féminin","Employé des postes/télégraphes","Employé des postes/télégraphes"))</f>
        <v>Employé des postes/télégraphes</v>
      </c>
      <c r="AM64" t="s">
        <v>147</v>
      </c>
      <c r="BN64" t="s">
        <v>4489</v>
      </c>
      <c r="BO64" s="65" t="s">
        <v>4490</v>
      </c>
      <c r="BP64" s="53" t="s">
        <v>4486</v>
      </c>
    </row>
    <row r="65" spans="22:68" x14ac:dyDescent="0.3">
      <c r="V65">
        <v>68</v>
      </c>
      <c r="AG65" t="s">
        <v>1668</v>
      </c>
      <c r="AL65" t="str">
        <f>IF(SexePerso="Féminin","Employée du chemin de fer/ Chef de gare",IF('Perso Reloaded'!$C$6="Féminin","Employée du chemin de fer/ Chef de gare","Employé du chemin de fer/ Chef de gare"))</f>
        <v>Employé du chemin de fer/ Chef de gare</v>
      </c>
      <c r="AM65" t="s">
        <v>147</v>
      </c>
      <c r="BN65" t="s">
        <v>2352</v>
      </c>
      <c r="BO65" s="65" t="s">
        <v>2353</v>
      </c>
      <c r="BP65" s="53" t="s">
        <v>2351</v>
      </c>
    </row>
    <row r="66" spans="22:68" x14ac:dyDescent="0.3">
      <c r="V66">
        <v>69</v>
      </c>
      <c r="AG66" t="s">
        <v>1680</v>
      </c>
      <c r="AL66" t="str">
        <f>IF(SexePerso="Féminin","Entrepreneuse",IF('Perso Reloaded'!$C$6="Féminin","Entrepreneuse","Entrepreneur"))</f>
        <v>Entrepreneur</v>
      </c>
      <c r="AM66" t="s">
        <v>4664</v>
      </c>
      <c r="BN66" t="s">
        <v>2412</v>
      </c>
      <c r="BO66" s="65" t="s">
        <v>3880</v>
      </c>
      <c r="BP66" s="53" t="s">
        <v>2411</v>
      </c>
    </row>
    <row r="67" spans="22:68" x14ac:dyDescent="0.3">
      <c r="V67">
        <v>70</v>
      </c>
      <c r="AG67" t="s">
        <v>1675</v>
      </c>
      <c r="AL67" t="str">
        <f>IF(SexePerso="Féminin","Ermite/ Nomade/ Vagabonde/ Vaurienne",IF('Perso Reloaded'!$C$6="Féminin","Ermite/ Nomade/ Vagabonde/ Vaurienne","Ermite/ Nomade/ Vagabond/ Vaurien"))</f>
        <v>Ermite/ Nomade/ Vagabond/ Vaurien</v>
      </c>
      <c r="AM67" t="s">
        <v>4665</v>
      </c>
      <c r="BN67" t="s">
        <v>4607</v>
      </c>
      <c r="BO67" s="65" t="s">
        <v>4608</v>
      </c>
      <c r="BP67" s="53" t="s">
        <v>4609</v>
      </c>
    </row>
    <row r="68" spans="22:68" x14ac:dyDescent="0.3">
      <c r="V68">
        <v>71</v>
      </c>
      <c r="AG68" t="s">
        <v>1681</v>
      </c>
      <c r="AL68" t="str">
        <f>IF(SexePerso="Féminin","Érudite/ Savante",IF('Perso Reloaded'!$C$6="Féminin","Érudite/ Savante","Érudit/ Savant"))</f>
        <v>Érudit/ Savant</v>
      </c>
      <c r="AM68" t="s">
        <v>144</v>
      </c>
      <c r="BN68" t="s">
        <v>4533</v>
      </c>
      <c r="BO68" s="65" t="s">
        <v>4534</v>
      </c>
      <c r="BP68" s="53" t="s">
        <v>4535</v>
      </c>
    </row>
    <row r="69" spans="22:68" x14ac:dyDescent="0.3">
      <c r="V69">
        <v>72</v>
      </c>
      <c r="AG69" t="s">
        <v>1673</v>
      </c>
      <c r="AL69" t="str">
        <f>IF(SexePerso="Féminin","Esclavagiste/ Maquerelle",IF('Perso Reloaded'!$C$6="Féminin","Esclavagiste/ Maquerelle","Esclavagiste/ Proxènète"))</f>
        <v>Esclavagiste/ Proxènète</v>
      </c>
      <c r="AM69" t="s">
        <v>4665</v>
      </c>
      <c r="BN69" t="s">
        <v>2406</v>
      </c>
      <c r="BO69" s="65" t="s">
        <v>2407</v>
      </c>
      <c r="BP69" s="53" t="s">
        <v>2408</v>
      </c>
    </row>
    <row r="70" spans="22:68" x14ac:dyDescent="0.3">
      <c r="V70">
        <v>73</v>
      </c>
      <c r="AG70" t="s">
        <v>1669</v>
      </c>
      <c r="AL70" t="s">
        <v>4643</v>
      </c>
      <c r="BN70" t="s">
        <v>5010</v>
      </c>
      <c r="BO70" s="65" t="s">
        <v>5012</v>
      </c>
      <c r="BP70" s="53" t="s">
        <v>5011</v>
      </c>
    </row>
    <row r="71" spans="22:68" x14ac:dyDescent="0.3">
      <c r="V71">
        <v>74</v>
      </c>
      <c r="AG71" t="s">
        <v>1676</v>
      </c>
      <c r="AL71" t="str">
        <f>IF(SexePerso="Féminin","Escroqueuse/ Voleuse/ Faussaire/ Charlatanne",IF('Perso Reloaded'!$C$6="Féminin","Escroqueuse/ Voleuse/ Faussaire/ Charlatanne","Escroc/ Voleur/ Faussaire/ Charlatan"))</f>
        <v>Escroc/ Voleur/ Faussaire/ Charlatan</v>
      </c>
      <c r="AM71" t="s">
        <v>4665</v>
      </c>
      <c r="BN71" t="s">
        <v>2384</v>
      </c>
      <c r="BO71" s="65" t="s">
        <v>2385</v>
      </c>
      <c r="BP71" s="53" t="s">
        <v>2381</v>
      </c>
    </row>
    <row r="72" spans="22:68" x14ac:dyDescent="0.3">
      <c r="V72">
        <v>75</v>
      </c>
      <c r="AG72" t="s">
        <v>1678</v>
      </c>
      <c r="AL72" t="str">
        <f>IF(SexePerso="Féminin","Espionne",IF('Perso Reloaded'!$C$6="Féminin","Espionne","Espion"))</f>
        <v>Espion</v>
      </c>
      <c r="AM72" t="s">
        <v>4665</v>
      </c>
      <c r="BN72" t="s">
        <v>2433</v>
      </c>
      <c r="BO72" s="66" t="s">
        <v>4496</v>
      </c>
      <c r="BP72" s="53" t="s">
        <v>2434</v>
      </c>
    </row>
    <row r="73" spans="22:68" x14ac:dyDescent="0.3">
      <c r="V73">
        <v>76</v>
      </c>
      <c r="AG73" t="s">
        <v>1682</v>
      </c>
      <c r="AL73" t="str">
        <f>IF(SexePerso="Féminin","Étudiante",IF('Perso Reloaded'!$C$6="Féminin","Étudiante","Étudiant"))</f>
        <v>Étudiant</v>
      </c>
      <c r="AM73" t="s">
        <v>144</v>
      </c>
      <c r="BN73" t="s">
        <v>2383</v>
      </c>
      <c r="BO73" s="65" t="s">
        <v>2965</v>
      </c>
      <c r="BP73" s="53" t="s">
        <v>2381</v>
      </c>
    </row>
    <row r="74" spans="22:68" x14ac:dyDescent="0.3">
      <c r="V74">
        <v>77</v>
      </c>
      <c r="AG74" t="s">
        <v>1670</v>
      </c>
      <c r="AL74" t="str">
        <f>IF(SexePerso="Féminin","Ex-détenue/Ex-Taularde/Ex-Prisonière de guerre",IF('Perso Reloaded'!$C$6="Féminin","Ex-détenue/Ex-Taularde/Ex-Prisonière de guerre","Ex-détenu/Ex-Taulard/Ex-Prisonier de guerre"))</f>
        <v>Ex-détenu/Ex-Taulard/Ex-Prisonier de guerre</v>
      </c>
      <c r="AM74" t="s">
        <v>4665</v>
      </c>
      <c r="BN74" t="s">
        <v>2379</v>
      </c>
      <c r="BO74" s="65" t="s">
        <v>2380</v>
      </c>
      <c r="BP74" s="53" t="s">
        <v>2374</v>
      </c>
    </row>
    <row r="75" spans="22:68" x14ac:dyDescent="0.3">
      <c r="V75">
        <v>78</v>
      </c>
      <c r="AG75" s="24" t="s">
        <v>1633</v>
      </c>
      <c r="AL75" t="str">
        <f>IF(SexePerso="Féminin","Exploratrice/ Prospectrice/ Cartographe",IF('Perso Reloaded'!$C$6="Féminin","Exploratrice/ Prospectrice/ Cartographe","Explorateur/ Prospecteur/ Cartographe"))</f>
        <v>Explorateur/ Prospecteur/ Cartographe</v>
      </c>
      <c r="AM75" t="s">
        <v>144</v>
      </c>
      <c r="BN75" t="s">
        <v>2349</v>
      </c>
      <c r="BO75" s="65" t="s">
        <v>2354</v>
      </c>
      <c r="BP75" s="53" t="s">
        <v>2351</v>
      </c>
    </row>
    <row r="76" spans="22:68" x14ac:dyDescent="0.3">
      <c r="V76">
        <v>79</v>
      </c>
      <c r="AG76" s="24" t="s">
        <v>1634</v>
      </c>
      <c r="AL76" t="str">
        <f>IF(SexePerso="Féminin","Fabricante d'armes",IF('Perso Reloaded'!$C$6="Féminin","Fabricante d'armes","Fabricant d'armes"))</f>
        <v>Fabricant d'armes</v>
      </c>
      <c r="AM76" t="s">
        <v>4664</v>
      </c>
      <c r="BN76" t="s">
        <v>4483</v>
      </c>
      <c r="BO76" s="65" t="s">
        <v>4623</v>
      </c>
      <c r="BP76" s="53" t="s">
        <v>4481</v>
      </c>
    </row>
    <row r="77" spans="22:68" x14ac:dyDescent="0.3">
      <c r="V77">
        <v>80</v>
      </c>
      <c r="AG77" s="24" t="s">
        <v>1639</v>
      </c>
      <c r="AL77" t="str">
        <f>IF(SexePerso="Féminin","Fabricante d'armures",IF('Perso Reloaded'!$C$6="Féminin","Fabricante d'armures","Fabricant d'armures"))</f>
        <v>Fabricant d'armures</v>
      </c>
      <c r="AM77" t="s">
        <v>4664</v>
      </c>
      <c r="BN77" t="s">
        <v>2367</v>
      </c>
      <c r="BO77" s="65" t="s">
        <v>2369</v>
      </c>
      <c r="BP77" s="53" t="s">
        <v>2362</v>
      </c>
    </row>
    <row r="78" spans="22:68" x14ac:dyDescent="0.3">
      <c r="V78">
        <v>81</v>
      </c>
      <c r="AG78" s="24" t="s">
        <v>5029</v>
      </c>
      <c r="AL78" t="str">
        <f>IF(SexePerso="Féminin","Fermière/ Métayère/ Paysanne",IF('Perso Reloaded'!$C$6="Féminin","Fermière/ Métayère/ Paysanne","Fermier/ Métayer/ Paysan"))</f>
        <v>Fermier/ Métayer/ Paysan</v>
      </c>
      <c r="AM78" t="s">
        <v>146</v>
      </c>
      <c r="BN78" t="s">
        <v>4538</v>
      </c>
      <c r="BO78" s="65" t="s">
        <v>4539</v>
      </c>
      <c r="BP78" s="53" t="s">
        <v>4535</v>
      </c>
    </row>
    <row r="79" spans="22:68" x14ac:dyDescent="0.3">
      <c r="V79">
        <v>82</v>
      </c>
      <c r="AG79" s="24" t="s">
        <v>1631</v>
      </c>
      <c r="AL79" t="str">
        <f>IF(SexePerso="Féminin","Fondeuse/ Chaudronnière",IF('Perso Reloaded'!$C$6="Féminin","Fondeuse/ Chaudronnière","Fondeur/ Chaudronnier"))</f>
        <v>Fondeur/ Chaudronnier</v>
      </c>
      <c r="AM79" t="s">
        <v>4664</v>
      </c>
    </row>
    <row r="80" spans="22:68" x14ac:dyDescent="0.3">
      <c r="V80">
        <v>83</v>
      </c>
      <c r="AG80" s="24" t="s">
        <v>1635</v>
      </c>
      <c r="AL80" t="str">
        <f>IF(SexePerso="Féminin","Forgeronne/ Maréchale-ferrante",IF('Perso Reloaded'!$C$6="Féminin","Forgeronne/ Maréchale-ferrante","Forgeron/ Maréchal-ferrant"))</f>
        <v>Forgeron/ Maréchal-ferrant</v>
      </c>
      <c r="AM80" t="s">
        <v>4664</v>
      </c>
    </row>
    <row r="81" spans="22:39" x14ac:dyDescent="0.3">
      <c r="V81">
        <v>84</v>
      </c>
      <c r="AG81" s="24" t="s">
        <v>1636</v>
      </c>
      <c r="AL81" t="str">
        <f>IF(SexePerso="Féminin","Fossoyeuse",IF('Perso Reloaded'!$C$6="Féminin","Fossoyeuse","Fossoyeur"))</f>
        <v>Fossoyeur</v>
      </c>
      <c r="AM81" t="s">
        <v>148</v>
      </c>
    </row>
    <row r="82" spans="22:39" x14ac:dyDescent="0.3">
      <c r="V82">
        <v>85</v>
      </c>
      <c r="AG82" s="24" t="s">
        <v>1637</v>
      </c>
      <c r="AL82" t="str">
        <f>IF(SexePerso="Féminin","Fourreuse/Pelletière",IF('Perso Reloaded'!$C$6="Féminin","Fourreuse","Fourreur/ Pelletier"))</f>
        <v>Fourreur/ Pelletier</v>
      </c>
      <c r="AM82" t="s">
        <v>142</v>
      </c>
    </row>
    <row r="83" spans="22:39" x14ac:dyDescent="0.3">
      <c r="V83">
        <v>86</v>
      </c>
      <c r="AG83" s="24" t="s">
        <v>1638</v>
      </c>
      <c r="AL83" t="s">
        <v>1990</v>
      </c>
      <c r="AM83" t="s">
        <v>150</v>
      </c>
    </row>
    <row r="84" spans="22:39" x14ac:dyDescent="0.3">
      <c r="V84">
        <v>87</v>
      </c>
      <c r="AG84" s="24" t="s">
        <v>1640</v>
      </c>
      <c r="AL84" t="str">
        <f>IF(SexePerso="Féminin","Garde/ Femme d'arme",IF('Perso Reloaded'!$C$6="Féminin","Garde/ Femme d'arme","Garde/ Homme d'arme"))</f>
        <v>Garde/ Homme d'arme</v>
      </c>
      <c r="AM84" t="s">
        <v>150</v>
      </c>
    </row>
    <row r="85" spans="22:39" x14ac:dyDescent="0.3">
      <c r="V85">
        <v>88</v>
      </c>
      <c r="AG85" s="24" t="s">
        <v>1641</v>
      </c>
      <c r="AL85" t="str">
        <f>IF(SexePerso="Féminin","Gardienne de prison/Géolière",IF('Perso Reloaded'!$C$6="Féminin","Gardienne de prison/Géolière","Gardien de prison/Géolier"))</f>
        <v>Gardien de prison/Géolier</v>
      </c>
      <c r="AM85" t="s">
        <v>150</v>
      </c>
    </row>
    <row r="86" spans="22:39" x14ac:dyDescent="0.3">
      <c r="V86">
        <v>89</v>
      </c>
      <c r="AG86" s="24" t="s">
        <v>1642</v>
      </c>
      <c r="AL86" t="str">
        <f>IF(SexePerso="Féminin","Fille de Saloon/ Câtin",IF('Perso Reloaded'!$C$6="Féminin","Fille de Saloon/ Câtin","Gigolo"))</f>
        <v>Gigolo</v>
      </c>
      <c r="AM86" t="s">
        <v>140</v>
      </c>
    </row>
    <row r="87" spans="22:39" x14ac:dyDescent="0.3">
      <c r="V87">
        <v>90</v>
      </c>
      <c r="AG87" s="24" t="s">
        <v>1643</v>
      </c>
      <c r="AL87" t="s">
        <v>4644</v>
      </c>
      <c r="AM87" t="s">
        <v>148</v>
      </c>
    </row>
    <row r="88" spans="22:39" x14ac:dyDescent="0.3">
      <c r="V88">
        <v>91</v>
      </c>
      <c r="AG88" s="24" t="s">
        <v>1644</v>
      </c>
      <c r="AL88" t="str">
        <f>IF(SexePerso="Féminin","Femme de loi",IF('Perso Reloaded'!$C$6="Féminin","Femme de loi","Homme de loi/ Shérif"))</f>
        <v>Homme de loi/ Shérif</v>
      </c>
      <c r="AM88" t="s">
        <v>150</v>
      </c>
    </row>
    <row r="89" spans="22:39" x14ac:dyDescent="0.3">
      <c r="V89">
        <v>92</v>
      </c>
      <c r="AG89" s="24" t="s">
        <v>1645</v>
      </c>
      <c r="AL89" t="str">
        <f>IF(SexePerso="Féminin","Dame d'honneur",IF('Perso Reloaded'!$C$6="Féminin","Dame d'honneur","Homme de main"))</f>
        <v>Homme de main</v>
      </c>
      <c r="AM89" t="s">
        <v>150</v>
      </c>
    </row>
    <row r="90" spans="22:39" x14ac:dyDescent="0.3">
      <c r="V90">
        <v>93</v>
      </c>
      <c r="AG90" s="24" t="s">
        <v>1646</v>
      </c>
      <c r="AL90" t="str">
        <f>IF(SexePerso="Féminin","Femme d'église",IF('Perso Reloaded'!$C$6="Féminin","Femme d'église","Homme d'église"))</f>
        <v>Homme d'église</v>
      </c>
      <c r="AM90" t="s">
        <v>1721</v>
      </c>
    </row>
    <row r="91" spans="22:39" x14ac:dyDescent="0.3">
      <c r="V91">
        <v>94</v>
      </c>
      <c r="AG91" s="24" t="s">
        <v>1647</v>
      </c>
      <c r="AL91" t="s">
        <v>4645</v>
      </c>
      <c r="AM91" t="s">
        <v>4665</v>
      </c>
    </row>
    <row r="92" spans="22:39" x14ac:dyDescent="0.3">
      <c r="V92">
        <v>95</v>
      </c>
      <c r="AG92" s="24" t="s">
        <v>1648</v>
      </c>
      <c r="AL92" t="s">
        <v>4646</v>
      </c>
      <c r="AM92" t="s">
        <v>4665</v>
      </c>
    </row>
    <row r="93" spans="22:39" x14ac:dyDescent="0.3">
      <c r="V93">
        <v>96</v>
      </c>
      <c r="AG93" s="24" t="s">
        <v>1649</v>
      </c>
      <c r="AL93" t="str">
        <f>IF(SexePerso="Féminin","Imprimeuse/ Copiste",IF('Perso Reloaded'!$C$6="Féminin","Imprimeuse/ Copiste","Imprimeur/ Copiste"))</f>
        <v>Imprimeur/ Copiste</v>
      </c>
      <c r="AM93" t="s">
        <v>4664</v>
      </c>
    </row>
    <row r="94" spans="22:39" x14ac:dyDescent="0.3">
      <c r="V94">
        <v>97</v>
      </c>
      <c r="AG94" s="24" t="s">
        <v>1650</v>
      </c>
      <c r="AL94" t="str">
        <f>IF(SexePerso="Féminin","Infirmière/ Brancardière",IF('Perso Reloaded'!$C$6="Féminin","Infirmière/ Brancardière","Infirmier/ Brancardier"))</f>
        <v>Infirmier/ Brancardier</v>
      </c>
      <c r="AM94" t="s">
        <v>143</v>
      </c>
    </row>
    <row r="95" spans="22:39" x14ac:dyDescent="0.3">
      <c r="V95">
        <v>98</v>
      </c>
      <c r="AG95" s="24" t="s">
        <v>1651</v>
      </c>
      <c r="AL95" t="str">
        <f>IF(SexePerso="Féminin","Ingénieure/ Géomètre",IF('Perso Reloaded'!$C$6="Féminin","Ingénieure/ Géomètre","Ingénieur/ Géomètre"))</f>
        <v>Ingénieur/ Géomètre</v>
      </c>
      <c r="AM95" t="s">
        <v>4664</v>
      </c>
    </row>
    <row r="96" spans="22:39" x14ac:dyDescent="0.3">
      <c r="V96">
        <v>99</v>
      </c>
      <c r="AG96" s="24" t="s">
        <v>1652</v>
      </c>
      <c r="AL96" t="str">
        <f>IF(SexePerso="Féminin","Joaillère/ Bijoutière/ Orphèvre",IF('Perso Reloaded'!$C$6="Féminin","Joaillère/ Bijoutière/ Orphèvre","Joailler/ Bijoutier/ Orphèvre"))</f>
        <v>Joailler/ Bijoutier/ Orphèvre</v>
      </c>
      <c r="AM96" t="s">
        <v>142</v>
      </c>
    </row>
    <row r="97" spans="22:39" x14ac:dyDescent="0.3">
      <c r="V97">
        <v>100</v>
      </c>
      <c r="AG97" s="24" t="s">
        <v>1653</v>
      </c>
      <c r="AL97" t="str">
        <f>IF(SexePerso="Féminin","Joueuse professionnelle,",IF('Perso Reloaded'!$C$6="Féminin","Joueuse professionnelle","Joueur professionnel"))</f>
        <v>Joueur professionnel</v>
      </c>
      <c r="AM97" t="s">
        <v>148</v>
      </c>
    </row>
    <row r="98" spans="22:39" x14ac:dyDescent="0.3">
      <c r="V98">
        <v>101</v>
      </c>
      <c r="AG98" s="24" t="s">
        <v>1654</v>
      </c>
      <c r="AL98" t="str">
        <f>IF(SexePerso="Féminin","Journaliste/ Reportrice,",IF('Perso Reloaded'!$C$6="Féminin","Journaliste/ Reportrice","Journaliste/ Reporter"))</f>
        <v>Journaliste/ Reporter</v>
      </c>
      <c r="AM98" t="s">
        <v>148</v>
      </c>
    </row>
    <row r="99" spans="22:39" x14ac:dyDescent="0.3">
      <c r="V99">
        <v>102</v>
      </c>
      <c r="AG99" s="24" t="s">
        <v>1632</v>
      </c>
      <c r="AL99" t="s">
        <v>4647</v>
      </c>
      <c r="AM99" t="s">
        <v>142</v>
      </c>
    </row>
    <row r="100" spans="22:39" x14ac:dyDescent="0.3">
      <c r="V100">
        <v>103</v>
      </c>
      <c r="AG100" s="24" t="s">
        <v>1656</v>
      </c>
      <c r="AL100" t="str">
        <f>IF(SexePerso="Féminin","Maçonne",IF('Perso Reloaded'!$C$6="Féminin","Maçonne","Maçon"))</f>
        <v>Maçon</v>
      </c>
      <c r="AM100" t="s">
        <v>4664</v>
      </c>
    </row>
    <row r="101" spans="22:39" x14ac:dyDescent="0.3">
      <c r="V101">
        <v>104</v>
      </c>
      <c r="AG101" s="24" t="s">
        <v>1658</v>
      </c>
      <c r="AL101" t="str">
        <f>IF(SexePerso="Féminin","Maîtresse d'école/Préceptrice/ Institutrice",IF('Perso Reloaded'!$C$6="Féminin","Maîtresse d'école/Préceptrice/ Institutrice","Maître d'école/Précepteur/ Instituteur"))</f>
        <v>Maître d'école/Précepteur/ Instituteur</v>
      </c>
      <c r="AM101" t="s">
        <v>148</v>
      </c>
    </row>
    <row r="102" spans="22:39" x14ac:dyDescent="0.3">
      <c r="V102">
        <v>105</v>
      </c>
      <c r="AG102" s="24" t="s">
        <v>5035</v>
      </c>
      <c r="AL102" t="str">
        <f>IF(SexePerso="Féminin","Marchande/ Epicière/ Vendeuse",IF('Perso Reloaded'!$C$6="Féminin","Marchande/ Epicière/ Vendeuse","Marchand/ Epicier/ Vendeur"))</f>
        <v>Marchand/ Epicier/ Vendeur</v>
      </c>
      <c r="AM102" t="s">
        <v>142</v>
      </c>
    </row>
    <row r="103" spans="22:39" x14ac:dyDescent="0.3">
      <c r="V103">
        <v>106</v>
      </c>
      <c r="AG103" s="24" t="s">
        <v>1660</v>
      </c>
      <c r="AL103" t="s">
        <v>4652</v>
      </c>
      <c r="AM103" t="s">
        <v>141</v>
      </c>
    </row>
    <row r="104" spans="22:39" x14ac:dyDescent="0.3">
      <c r="V104">
        <v>107</v>
      </c>
      <c r="AG104" t="s">
        <v>1694</v>
      </c>
      <c r="AL104" t="str">
        <f>IF(SexePerso="Féminin","Mécanicienne/ Garagiste",IF('Perso Reloaded'!$C$6="Féminin","Mécanicienne/ Garagiste","Mécanicien/ Garagiste"))</f>
        <v>Mécanicien/ Garagiste</v>
      </c>
      <c r="AM104" t="s">
        <v>4664</v>
      </c>
    </row>
    <row r="105" spans="22:39" x14ac:dyDescent="0.3">
      <c r="V105">
        <v>108</v>
      </c>
      <c r="AG105" t="s">
        <v>1686</v>
      </c>
      <c r="AL105" t="str">
        <f>IF(SexePerso="Féminin","Médecin/ Doctoresse/ Soigneuse",IF('Perso Reloaded'!$C$6="Féminin","Médecin/ Doctoresse/ Soigneuse","Médecin/ Docteur/ Soigneur"))</f>
        <v>Médecin/ Docteur/ Soigneur</v>
      </c>
      <c r="AM105" t="s">
        <v>143</v>
      </c>
    </row>
    <row r="106" spans="22:39" x14ac:dyDescent="0.3">
      <c r="V106">
        <v>109</v>
      </c>
      <c r="AG106" t="s">
        <v>1699</v>
      </c>
      <c r="AL106" t="s">
        <v>4653</v>
      </c>
      <c r="AM106" t="s">
        <v>141</v>
      </c>
    </row>
    <row r="107" spans="22:39" x14ac:dyDescent="0.3">
      <c r="V107">
        <v>110</v>
      </c>
      <c r="AG107" t="s">
        <v>1683</v>
      </c>
      <c r="AL107" t="str">
        <f>IF(SexePerso="Féminin","Meunière/ Minotière",IF('Perso Reloaded'!$C$6="Féminin","Meunière/ Minotière","Meunier/ Minotier"))</f>
        <v>Meunier/ Minotier</v>
      </c>
      <c r="AM107" t="s">
        <v>146</v>
      </c>
    </row>
    <row r="108" spans="22:39" x14ac:dyDescent="0.3">
      <c r="V108">
        <v>111</v>
      </c>
      <c r="AG108" t="s">
        <v>1616</v>
      </c>
      <c r="AL108" t="str">
        <f>IF(SexePerso="Féminin","Mineuse",IF('Perso Reloaded'!$C$6="Féminin","Mineuse","Mineur"))</f>
        <v>Mineur</v>
      </c>
      <c r="AM108" t="s">
        <v>4664</v>
      </c>
    </row>
    <row r="109" spans="22:39" x14ac:dyDescent="0.3">
      <c r="V109">
        <v>112</v>
      </c>
      <c r="AG109" t="s">
        <v>1685</v>
      </c>
      <c r="AL109" t="str">
        <f>IF(SexePerso="Féminin","Nonne shaolin",IF('Perso Reloaded'!$C$6="Féminin","Nonne shaolin","Moine shaolin"))</f>
        <v>Moine shaolin</v>
      </c>
      <c r="AM109" t="s">
        <v>1721</v>
      </c>
    </row>
    <row r="110" spans="22:39" x14ac:dyDescent="0.3">
      <c r="V110">
        <v>113</v>
      </c>
      <c r="AG110" t="s">
        <v>5028</v>
      </c>
      <c r="AL110" t="str">
        <f>IF(SexePerso="Féminin","Musicienne/ Compositrice",IF('Perso Reloaded'!$C$6="Féminin","Musicienne/ Compositrice","Musicien/ Compositeur"))</f>
        <v>Musicien/ Compositeur</v>
      </c>
      <c r="AM110" t="s">
        <v>140</v>
      </c>
    </row>
    <row r="111" spans="22:39" x14ac:dyDescent="0.3">
      <c r="V111">
        <v>114</v>
      </c>
      <c r="AG111" t="s">
        <v>1617</v>
      </c>
      <c r="AL111" t="str">
        <f>IF(SexePerso="Féminin","Négociante/ Importatrice/ Grossiste",IF('Perso Reloaded'!$C$6="Féminin","Négociante/ Importatrice/ Grossiste","Négociant/ Importateur/ Grossiste"))</f>
        <v>Négociant/ Importateur/ Grossiste</v>
      </c>
      <c r="AM111" t="s">
        <v>142</v>
      </c>
    </row>
    <row r="112" spans="22:39" x14ac:dyDescent="0.3">
      <c r="V112">
        <v>115</v>
      </c>
      <c r="AG112" t="s">
        <v>131</v>
      </c>
      <c r="AL112" t="s">
        <v>4663</v>
      </c>
      <c r="AM112" t="s">
        <v>150</v>
      </c>
    </row>
    <row r="113" spans="22:39" x14ac:dyDescent="0.3">
      <c r="V113">
        <v>116</v>
      </c>
      <c r="AG113" t="s">
        <v>1615</v>
      </c>
      <c r="AL113" t="str">
        <f>IF(SexePerso="Féminin","Ouvrière/ Manoeuvre",IF('Perso Reloaded'!$C$6="Féminin","Ouvrière/ Manoeuvre","Ouvrier/ Manoeuvre"))</f>
        <v>Ouvrier/ Manoeuvre</v>
      </c>
      <c r="AM113" t="s">
        <v>4664</v>
      </c>
    </row>
    <row r="114" spans="22:39" x14ac:dyDescent="0.3">
      <c r="V114">
        <v>117</v>
      </c>
      <c r="AG114" t="s">
        <v>1703</v>
      </c>
      <c r="AL114" t="str">
        <f>IF(SexePerso="Féminin","Parfumeuse/ Tenancière de bains",IF('Perso Reloaded'!$C$6="Féminin","Parfumeuse/ Tenancière de bains","Parfumeur/ Tenancier de bains"))</f>
        <v>Parfumeur/ Tenancier de bains</v>
      </c>
      <c r="AM114" t="s">
        <v>142</v>
      </c>
    </row>
    <row r="115" spans="22:39" x14ac:dyDescent="0.3">
      <c r="V115">
        <v>118</v>
      </c>
      <c r="AG115" t="s">
        <v>132</v>
      </c>
      <c r="AL115" t="str">
        <f>IF(SexePerso="Féminin","Patrouilleuse fluviale/ Garde-côte",IF('Perso Reloaded'!$C$6="Féminin","Patrouilleuse fluviale/ Garde-côte","Patrouilleur fluvial/ Garde-côte"))</f>
        <v>Patrouilleur fluvial/ Garde-côte</v>
      </c>
      <c r="AM115" t="s">
        <v>141</v>
      </c>
    </row>
    <row r="116" spans="22:39" x14ac:dyDescent="0.3">
      <c r="V116">
        <v>119</v>
      </c>
      <c r="AG116" t="s">
        <v>1692</v>
      </c>
      <c r="AL116" t="str">
        <f>IF(SexePerso="Féminin","Patrouilleuse/ Garde Forestière",IF('Perso Reloaded'!$C$6="Féminin","Patrouilleuse/ Garde Forestière","Patrouilleur/ Garde Forestier"))</f>
        <v>Patrouilleur/ Garde Forestier</v>
      </c>
      <c r="AM116" t="s">
        <v>141</v>
      </c>
    </row>
    <row r="117" spans="22:39" x14ac:dyDescent="0.3">
      <c r="V117">
        <v>120</v>
      </c>
      <c r="AG117" t="s">
        <v>134</v>
      </c>
      <c r="AL117" t="str">
        <f>IF(SexePerso="Féminin","Pêcheuse/ Poissonière",IF('Perso Reloaded'!$C$6="Féminin","Pêcheuse/ Poissonière","Pêcheur/ Poissonier"))</f>
        <v>Pêcheur/ Poissonier</v>
      </c>
      <c r="AM117" t="s">
        <v>142</v>
      </c>
    </row>
    <row r="118" spans="22:39" x14ac:dyDescent="0.3">
      <c r="V118">
        <v>121</v>
      </c>
      <c r="AG118" t="s">
        <v>1698</v>
      </c>
      <c r="AL118" t="s">
        <v>4648</v>
      </c>
      <c r="AM118" t="s">
        <v>142</v>
      </c>
    </row>
    <row r="119" spans="22:39" x14ac:dyDescent="0.3">
      <c r="V119">
        <v>122</v>
      </c>
      <c r="AG119" t="s">
        <v>5026</v>
      </c>
      <c r="AL119" t="str">
        <f>IF(SexePerso="Féminin","Pilleuse de tombes/ Trafiquante de cadavres",IF('Perso Reloaded'!$C$6="Féminin","Pilleuse de tombes/ Trafiquante de cadavres","Pilleur de tombes/ Trafiquant de cadavres"))</f>
        <v>Pilleur de tombes/ Trafiquant de cadavres</v>
      </c>
      <c r="AM119" t="s">
        <v>4665</v>
      </c>
    </row>
    <row r="120" spans="22:39" x14ac:dyDescent="0.3">
      <c r="V120">
        <v>123</v>
      </c>
      <c r="AG120" t="s">
        <v>1706</v>
      </c>
      <c r="AL120" t="str">
        <f>IF(SexePerso="Féminin","Pirate du labirynthe/ Naufrageuse/ Pillarde",IF('Perso Reloaded'!$C$6="Féminin","Pirate du labirynthe/ Naufrageuse/ Pillarde","Pirate du labirynthe/ Naufrageur/ Pillard"))</f>
        <v>Pirate du labirynthe/ Naufrageur/ Pillard</v>
      </c>
      <c r="AM120" t="s">
        <v>4665</v>
      </c>
    </row>
    <row r="121" spans="22:39" x14ac:dyDescent="0.3">
      <c r="V121">
        <v>124</v>
      </c>
      <c r="AG121" t="s">
        <v>1707</v>
      </c>
      <c r="AL121" t="str">
        <f>IF(SexePerso="Féminin","Plombière/  Zingueuse",IF('Perso Reloaded'!$C$6="Féminin","Plombière/  Zingueuse","Plombier/  Zingueur"))</f>
        <v>Plombier/  Zingueur</v>
      </c>
      <c r="AM121" t="s">
        <v>142</v>
      </c>
    </row>
    <row r="122" spans="22:39" x14ac:dyDescent="0.3">
      <c r="V122">
        <v>125</v>
      </c>
      <c r="AG122" t="s">
        <v>1618</v>
      </c>
      <c r="AL122" t="str">
        <f>IF(SexePerso="Féminin","Politicienne",IF('Perso Reloaded'!$C$6="Féminin","Politicienne","Politicien"))</f>
        <v>Politicien</v>
      </c>
      <c r="AM122" t="s">
        <v>149</v>
      </c>
    </row>
    <row r="123" spans="22:39" x14ac:dyDescent="0.3">
      <c r="V123">
        <v>126</v>
      </c>
      <c r="AG123" t="s">
        <v>1661</v>
      </c>
      <c r="AL123" t="str">
        <f>IF(SexePerso="Féminin","Potière/ Tourneuse/ Céramiste",IF('Perso Reloaded'!$C$6="Féminin","Potière/ Tourneuse/ Céramiste","Potier/ Tourneur/ Céramiste"))</f>
        <v>Potier/ Tourneur/ Céramiste</v>
      </c>
      <c r="AM123" t="s">
        <v>142</v>
      </c>
    </row>
    <row r="124" spans="22:39" x14ac:dyDescent="0.3">
      <c r="V124">
        <v>127</v>
      </c>
      <c r="AG124" t="s">
        <v>133</v>
      </c>
      <c r="AL124" t="str">
        <f>IF(SexePerso="Féminin","Prédicatrice/ Astrologue/ Oracle/ Mystique",IF('Perso Reloaded'!$C$6="Féminin","Prédicatrice/ Astrologue/ Oracle/ Mystique","Prédicateur/ Astrologue/ Oracle/ Mystique"))</f>
        <v>Prédicateur/ Astrologue/ Oracle/ Mystique</v>
      </c>
      <c r="AM124" t="s">
        <v>1721</v>
      </c>
    </row>
    <row r="125" spans="22:39" x14ac:dyDescent="0.3">
      <c r="V125">
        <v>128</v>
      </c>
      <c r="AG125" t="s">
        <v>1693</v>
      </c>
      <c r="AL125" t="str">
        <f>IF(SexePerso="Féminin","Prêteuse sur gage/ Courtière",IF('Perso Reloaded'!$C$6="Féminin","Prêteuse sur gage/ Courtière","Preteur sur gage/ Courtier"))</f>
        <v>Preteur sur gage/ Courtier</v>
      </c>
      <c r="AM125" t="s">
        <v>4665</v>
      </c>
    </row>
    <row r="126" spans="22:39" x14ac:dyDescent="0.3">
      <c r="V126">
        <v>129</v>
      </c>
      <c r="AG126" t="s">
        <v>1614</v>
      </c>
      <c r="AL126" t="str">
        <f>IF(SexePerso="Féminin","Professeur/ Scientifique/ Chercheuse",IF('Perso Reloaded'!$C$6="Féminin","Professeur/ Scientifique/ Chercheuse","Professeur/ Scientifique/ Chercheur"))</f>
        <v>Professeur/ Scientifique/ Chercheur</v>
      </c>
      <c r="AM126" t="s">
        <v>144</v>
      </c>
    </row>
    <row r="127" spans="22:39" x14ac:dyDescent="0.3">
      <c r="V127">
        <v>130</v>
      </c>
      <c r="AG127" t="s">
        <v>1684</v>
      </c>
      <c r="AL127" t="str">
        <f>IF(SexePerso="Féminin","Ramasseuse de fumier/ Ratière/ Eboueuse",IF('Perso Reloaded'!$C$6="Féminin","Ramasseuse de fumier/ Ratière/ Eboueuse","Ramasseur de fumier/ Ratier/ Eboueur"))</f>
        <v>Ramasseur de fumier/ Ratier/ Eboueur</v>
      </c>
      <c r="AM127" t="s">
        <v>148</v>
      </c>
    </row>
    <row r="128" spans="22:39" x14ac:dyDescent="0.3">
      <c r="V128">
        <v>131</v>
      </c>
      <c r="AL128" t="str">
        <f>IF(SexePerso="Féminin","Ramoneuse/ Fumiste/ Chauffagiste",IF('Perso Reloaded'!$C$6="Féminin","Ramoneuse/ Fumiste/ Chauffagiste","Ramoneur/ Fumiste/ Chauffagiste"))</f>
        <v>Ramoneur/ Fumiste/ Chauffagiste</v>
      </c>
      <c r="AM128" t="s">
        <v>142</v>
      </c>
    </row>
    <row r="129" spans="22:39" x14ac:dyDescent="0.3">
      <c r="V129">
        <v>132</v>
      </c>
      <c r="AL129" t="str">
        <f>IF(SexePerso="Féminin","Receleuse",IF('Perso Reloaded'!$C$6="Féminin","Receleuse","Receleur"))</f>
        <v>Receleur</v>
      </c>
      <c r="AM129" t="s">
        <v>4665</v>
      </c>
    </row>
    <row r="130" spans="22:39" x14ac:dyDescent="0.3">
      <c r="V130">
        <v>133</v>
      </c>
      <c r="AL130" t="str">
        <f>IF(SexePerso="Féminin","Régisseuse",IF('Perso Reloaded'!$C$6="Féminin","Régisseuse","Régisseur"))</f>
        <v>Régisseur</v>
      </c>
      <c r="AM130" t="s">
        <v>150</v>
      </c>
    </row>
    <row r="131" spans="22:39" x14ac:dyDescent="0.3">
      <c r="V131">
        <v>134</v>
      </c>
      <c r="AL131" t="s">
        <v>4649</v>
      </c>
      <c r="AM131" t="s">
        <v>141</v>
      </c>
    </row>
    <row r="132" spans="22:39" x14ac:dyDescent="0.3">
      <c r="V132">
        <v>135</v>
      </c>
      <c r="AL132" t="str">
        <f>IF(SexePerso="Féminin","Savante folle/ Inventeuse",IF('Perso Reloaded'!$C$6="Féminin","Savante folle/ Inventeuse","Savant fou/ Inventeur"))</f>
        <v>Savant fou/ Inventeur</v>
      </c>
      <c r="AM132" t="s">
        <v>144</v>
      </c>
    </row>
    <row r="133" spans="22:39" x14ac:dyDescent="0.3">
      <c r="V133">
        <v>136</v>
      </c>
      <c r="AL133" t="str">
        <f>IF(SexePerso="Féminin","Servante/ Gouvernante",IF('Perso Reloaded'!$C$6="Féminin","Servante/ Gouvernante","Serviteur/ Valet/ Domestique"))</f>
        <v>Serviteur/ Valet/ Domestique</v>
      </c>
      <c r="AM133" t="s">
        <v>148</v>
      </c>
    </row>
    <row r="134" spans="22:39" x14ac:dyDescent="0.3">
      <c r="V134">
        <v>137</v>
      </c>
      <c r="AL134" t="str">
        <f>IF(SexePerso="Féminin","Shamane/ Femme médecine",IF('Perso Reloaded'!$C$6="Féminin","Shamane/ Femme médecine","Shaman/ Homme médecine"))</f>
        <v>Shaman/ Homme médecine</v>
      </c>
      <c r="AM134" t="s">
        <v>1721</v>
      </c>
    </row>
    <row r="135" spans="22:39" x14ac:dyDescent="0.3">
      <c r="V135">
        <v>138</v>
      </c>
      <c r="AL135" t="str">
        <f>IF(SexePerso="Féminin","Soldat/ Milicienne",IF('Perso Reloaded'!$C$6="Féminin","Soldat/ Milicienne","Soldat/ Milicien"))</f>
        <v>Soldat/ Milicien</v>
      </c>
      <c r="AM135" t="s">
        <v>141</v>
      </c>
    </row>
    <row r="136" spans="22:39" x14ac:dyDescent="0.3">
      <c r="V136">
        <v>139</v>
      </c>
      <c r="AL136" t="str">
        <f>IF(SexePerso="Féminin","Sortilera",IF('Perso Reloaded'!$C$6="Féminin","Sortilera","Sortilero"))</f>
        <v>Sortilero</v>
      </c>
      <c r="AM136" t="s">
        <v>4665</v>
      </c>
    </row>
    <row r="137" spans="22:39" x14ac:dyDescent="0.3">
      <c r="V137">
        <v>140</v>
      </c>
      <c r="AL137" t="str">
        <f>IF(SexePerso="Féminin","Souffleuse de verre/ Vitrière/ Cristallère",IF('Perso Reloaded'!$C$6="Féminin","Souffleuse de verre/ Vitrière/ Cristallère","Souffleur de verre/ Vitrier/ Cristallier"))</f>
        <v>Souffleur de verre/ Vitrier/ Cristallier</v>
      </c>
      <c r="AM137" t="s">
        <v>142</v>
      </c>
    </row>
    <row r="138" spans="22:39" x14ac:dyDescent="0.3">
      <c r="V138">
        <v>141</v>
      </c>
      <c r="AL138" t="s">
        <v>4650</v>
      </c>
      <c r="AM138" t="s">
        <v>1721</v>
      </c>
    </row>
    <row r="139" spans="22:39" x14ac:dyDescent="0.3">
      <c r="V139">
        <v>142</v>
      </c>
      <c r="AL139" t="s">
        <v>4654</v>
      </c>
      <c r="AM139" t="s">
        <v>149</v>
      </c>
    </row>
    <row r="140" spans="22:39" x14ac:dyDescent="0.3">
      <c r="V140">
        <v>143</v>
      </c>
      <c r="AL140" t="str">
        <f>IF(SexePerso="Féminin","Tailleuse de pierre/ Sculptrice",IF('Perso Reloaded'!$C$6="Féminin","Tailleuse de pierre/ Sculptrice","Tailleur de pierre/ Sculpteur"))</f>
        <v>Tailleur de pierre/ Sculpteur</v>
      </c>
      <c r="AM140" t="s">
        <v>142</v>
      </c>
    </row>
    <row r="141" spans="22:39" x14ac:dyDescent="0.3">
      <c r="V141">
        <v>144</v>
      </c>
      <c r="AL141" t="str">
        <f>IF(SexePerso="Féminin","Tatoueuse/ Prothésiste",IF('Perso Reloaded'!$C$6="Féminin","Tatoueuse/ Prothésiste","Tatoueur/ Prothésiste"))</f>
        <v>Tatoueur/ Prothésiste</v>
      </c>
      <c r="AM141" t="s">
        <v>140</v>
      </c>
    </row>
    <row r="142" spans="22:39" x14ac:dyDescent="0.3">
      <c r="V142">
        <v>145</v>
      </c>
      <c r="AL142" t="str">
        <f>IF(SexePerso="Féminin","Tenancière de salon de beauté",IF('Perso Reloaded'!$C$6="Féminin","Tenancière de salon de beauté","Tenancier de salon de beauté"))</f>
        <v>Tenancier de salon de beauté</v>
      </c>
      <c r="AM142" t="s">
        <v>142</v>
      </c>
    </row>
    <row r="143" spans="22:39" x14ac:dyDescent="0.3">
      <c r="V143">
        <v>146</v>
      </c>
      <c r="AL143" t="str">
        <f>IF(SexePerso="Féminin","Tenancière de théâtre",IF('Perso Reloaded'!$C$6="Féminin","Tenancière de théâtre","Tenancier de théâtre"))</f>
        <v>Tenancier de théâtre</v>
      </c>
      <c r="AM143" t="s">
        <v>142</v>
      </c>
    </row>
    <row r="144" spans="22:39" x14ac:dyDescent="0.3">
      <c r="V144">
        <v>147</v>
      </c>
      <c r="AL144" t="str">
        <f>IF(SexePerso="Féminin","Tenancière de tripôt",IF('Perso Reloaded'!$C$6="Féminin","Tenancière de tripôt","Tenancier de tripôt"))</f>
        <v>Tenancier de tripôt</v>
      </c>
      <c r="AM144" t="s">
        <v>142</v>
      </c>
    </row>
    <row r="145" spans="22:39" x14ac:dyDescent="0.3">
      <c r="V145">
        <v>148</v>
      </c>
      <c r="AL145" t="str">
        <f>IF(SexePerso="Féminin","Tonnelière",IF('Perso Reloaded'!$C$6="Féminin","Tonnelière","Tonnelier"))</f>
        <v>Tonnelier</v>
      </c>
      <c r="AM145" t="s">
        <v>142</v>
      </c>
    </row>
    <row r="146" spans="22:39" x14ac:dyDescent="0.3">
      <c r="V146">
        <v>149</v>
      </c>
      <c r="AL146" t="str">
        <f>IF(SexePerso="Féminin","Tueur de monstres",IF('Perso Reloaded'!$C$6="Féminin","Tueur de monstres","Tueur de monstres"))</f>
        <v>Tueur de monstres</v>
      </c>
      <c r="AM146" t="s">
        <v>141</v>
      </c>
    </row>
    <row r="147" spans="22:39" x14ac:dyDescent="0.3">
      <c r="V147">
        <v>150</v>
      </c>
      <c r="AL147" t="str">
        <f>IF(SexePerso="Féminin","Vétérante/ Retraitée",IF('Perso Reloaded'!$C$6="Féminin","Vétérante/ Retraitée","Vétéran/ Retraité"))</f>
        <v>Vétéran/ Retraité</v>
      </c>
    </row>
    <row r="148" spans="22:39" x14ac:dyDescent="0.3">
      <c r="V148">
        <v>151</v>
      </c>
    </row>
    <row r="149" spans="22:39" x14ac:dyDescent="0.3">
      <c r="V149">
        <v>152</v>
      </c>
    </row>
    <row r="150" spans="22:39" x14ac:dyDescent="0.3">
      <c r="V150">
        <v>153</v>
      </c>
    </row>
    <row r="151" spans="22:39" x14ac:dyDescent="0.3">
      <c r="V151">
        <v>154</v>
      </c>
    </row>
    <row r="152" spans="22:39" x14ac:dyDescent="0.3">
      <c r="V152">
        <v>155</v>
      </c>
    </row>
    <row r="153" spans="22:39" x14ac:dyDescent="0.3">
      <c r="V153">
        <v>156</v>
      </c>
    </row>
    <row r="154" spans="22:39" x14ac:dyDescent="0.3">
      <c r="V154">
        <v>157</v>
      </c>
    </row>
    <row r="155" spans="22:39" x14ac:dyDescent="0.3">
      <c r="V155">
        <v>158</v>
      </c>
    </row>
    <row r="156" spans="22:39" x14ac:dyDescent="0.3">
      <c r="V156">
        <v>159</v>
      </c>
    </row>
    <row r="157" spans="22:39" x14ac:dyDescent="0.3">
      <c r="V157">
        <v>160</v>
      </c>
    </row>
    <row r="158" spans="22:39" x14ac:dyDescent="0.3">
      <c r="V158">
        <v>161</v>
      </c>
    </row>
    <row r="159" spans="22:39" x14ac:dyDescent="0.3">
      <c r="V159">
        <v>162</v>
      </c>
    </row>
    <row r="160" spans="22:39" x14ac:dyDescent="0.3">
      <c r="V160">
        <v>163</v>
      </c>
    </row>
    <row r="161" spans="22:22" x14ac:dyDescent="0.3">
      <c r="V161">
        <v>164</v>
      </c>
    </row>
    <row r="162" spans="22:22" x14ac:dyDescent="0.3">
      <c r="V162">
        <v>165</v>
      </c>
    </row>
    <row r="163" spans="22:22" x14ac:dyDescent="0.3">
      <c r="V163">
        <v>166</v>
      </c>
    </row>
    <row r="164" spans="22:22" x14ac:dyDescent="0.3">
      <c r="V164">
        <v>167</v>
      </c>
    </row>
    <row r="165" spans="22:22" x14ac:dyDescent="0.3">
      <c r="V165">
        <v>168</v>
      </c>
    </row>
    <row r="166" spans="22:22" x14ac:dyDescent="0.3">
      <c r="V166">
        <v>169</v>
      </c>
    </row>
    <row r="167" spans="22:22" x14ac:dyDescent="0.3">
      <c r="V167">
        <v>170</v>
      </c>
    </row>
    <row r="168" spans="22:22" x14ac:dyDescent="0.3">
      <c r="V168">
        <v>171</v>
      </c>
    </row>
    <row r="169" spans="22:22" x14ac:dyDescent="0.3">
      <c r="V169">
        <v>172</v>
      </c>
    </row>
    <row r="170" spans="22:22" x14ac:dyDescent="0.3">
      <c r="V170">
        <v>173</v>
      </c>
    </row>
    <row r="171" spans="22:22" x14ac:dyDescent="0.3">
      <c r="V171">
        <v>174</v>
      </c>
    </row>
    <row r="172" spans="22:22" x14ac:dyDescent="0.3">
      <c r="V172">
        <v>175</v>
      </c>
    </row>
    <row r="173" spans="22:22" x14ac:dyDescent="0.3">
      <c r="V173">
        <v>176</v>
      </c>
    </row>
    <row r="174" spans="22:22" x14ac:dyDescent="0.3">
      <c r="V174">
        <v>177</v>
      </c>
    </row>
    <row r="175" spans="22:22" x14ac:dyDescent="0.3">
      <c r="V175">
        <v>178</v>
      </c>
    </row>
    <row r="176" spans="22:22" x14ac:dyDescent="0.3">
      <c r="V176">
        <v>179</v>
      </c>
    </row>
    <row r="177" spans="22:22" x14ac:dyDescent="0.3">
      <c r="V177">
        <v>180</v>
      </c>
    </row>
    <row r="178" spans="22:22" x14ac:dyDescent="0.3">
      <c r="V178">
        <v>181</v>
      </c>
    </row>
    <row r="179" spans="22:22" x14ac:dyDescent="0.3">
      <c r="V179">
        <v>182</v>
      </c>
    </row>
    <row r="180" spans="22:22" x14ac:dyDescent="0.3">
      <c r="V180">
        <v>183</v>
      </c>
    </row>
    <row r="181" spans="22:22" x14ac:dyDescent="0.3">
      <c r="V181">
        <v>184</v>
      </c>
    </row>
    <row r="182" spans="22:22" x14ac:dyDescent="0.3">
      <c r="V182">
        <v>185</v>
      </c>
    </row>
    <row r="214" spans="35:35" x14ac:dyDescent="0.3">
      <c r="AI214" t="s">
        <v>87</v>
      </c>
    </row>
  </sheetData>
  <sortState xmlns:xlrd2="http://schemas.microsoft.com/office/spreadsheetml/2017/richdata2" ref="AP3:AP15">
    <sortCondition ref="AP15"/>
  </sortState>
  <mergeCells count="16">
    <mergeCell ref="CC1:CE1"/>
    <mergeCell ref="BX1:CB1"/>
    <mergeCell ref="BS1:BT1"/>
    <mergeCell ref="A1:E1"/>
    <mergeCell ref="BN1:BP1"/>
    <mergeCell ref="T1:AD1"/>
    <mergeCell ref="AE1:AF1"/>
    <mergeCell ref="AG1:AP1"/>
    <mergeCell ref="AS1:AT1"/>
    <mergeCell ref="AX1:AZ1"/>
    <mergeCell ref="BL1:BM1"/>
    <mergeCell ref="AU1:AW1"/>
    <mergeCell ref="BJ1:BK1"/>
    <mergeCell ref="BB1:BD1"/>
    <mergeCell ref="AQ1:AR1"/>
    <mergeCell ref="BF1:BH1"/>
  </mergeCells>
  <phoneticPr fontId="87" type="noConversion"/>
  <dataValidations count="1">
    <dataValidation type="list" allowBlank="1" showInputMessage="1" showErrorMessage="1" sqref="AM1:AM1048576" xr:uid="{00000000-0002-0000-0C00-000000000000}">
      <formula1>Carrière</formula1>
    </dataValidation>
  </dataValidations>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dimension ref="A1:AC532"/>
  <sheetViews>
    <sheetView topLeftCell="A142" workbookViewId="0">
      <selection activeCell="U147" sqref="U147"/>
    </sheetView>
  </sheetViews>
  <sheetFormatPr baseColWidth="10" defaultRowHeight="14.4" x14ac:dyDescent="0.3"/>
  <cols>
    <col min="1" max="1" width="40" style="65" customWidth="1"/>
    <col min="2" max="20" width="3.109375" customWidth="1"/>
    <col min="21" max="21" width="10.109375" customWidth="1"/>
    <col min="24" max="24" width="11.44140625" customWidth="1"/>
  </cols>
  <sheetData>
    <row r="1" spans="1:29" x14ac:dyDescent="0.3">
      <c r="A1" s="271" t="s">
        <v>352</v>
      </c>
      <c r="B1" s="276" t="s">
        <v>1386</v>
      </c>
      <c r="C1" s="276" t="s">
        <v>1387</v>
      </c>
      <c r="D1" s="276" t="s">
        <v>1388</v>
      </c>
      <c r="E1" s="276" t="s">
        <v>1389</v>
      </c>
      <c r="F1" s="276" t="s">
        <v>1390</v>
      </c>
      <c r="G1" s="276" t="s">
        <v>1391</v>
      </c>
      <c r="H1" s="276" t="s">
        <v>1392</v>
      </c>
      <c r="I1" s="276" t="s">
        <v>1393</v>
      </c>
      <c r="J1" s="276" t="s">
        <v>1394</v>
      </c>
      <c r="K1" s="276" t="s">
        <v>1395</v>
      </c>
      <c r="L1" s="276" t="s">
        <v>3842</v>
      </c>
      <c r="M1" s="276" t="s">
        <v>3843</v>
      </c>
      <c r="N1" s="276" t="s">
        <v>3844</v>
      </c>
      <c r="O1" s="276" t="s">
        <v>3845</v>
      </c>
      <c r="P1" s="276" t="s">
        <v>3846</v>
      </c>
      <c r="Q1" s="276" t="s">
        <v>3847</v>
      </c>
      <c r="R1" s="276" t="s">
        <v>3848</v>
      </c>
      <c r="S1" s="276" t="s">
        <v>3849</v>
      </c>
      <c r="T1" s="276" t="s">
        <v>3782</v>
      </c>
      <c r="U1" s="270" t="s">
        <v>3783</v>
      </c>
      <c r="V1" s="270" t="s">
        <v>3781</v>
      </c>
      <c r="W1" s="270" t="s">
        <v>299</v>
      </c>
      <c r="X1" s="270" t="s">
        <v>3785</v>
      </c>
      <c r="Y1" s="274" t="s">
        <v>3786</v>
      </c>
      <c r="Z1" s="274" t="s">
        <v>3</v>
      </c>
      <c r="AA1" s="276" t="s">
        <v>4349</v>
      </c>
    </row>
    <row r="2" spans="1:29" x14ac:dyDescent="0.3">
      <c r="A2" s="65" t="s">
        <v>1369</v>
      </c>
      <c r="B2">
        <f>IF(AtoutsHandicapsMatos!$C$5=A2,1,0)</f>
        <v>0</v>
      </c>
      <c r="C2">
        <f>IF(AtoutsHandicapsMatos!$C$6=A2,1,0)</f>
        <v>0</v>
      </c>
      <c r="D2">
        <f>IF(AtoutsHandicapsMatos!$C$7=A2,1,0)</f>
        <v>0</v>
      </c>
      <c r="E2">
        <f>IF(AtoutsHandicapsMatos!$C$8=A2,1,0)</f>
        <v>0</v>
      </c>
      <c r="F2">
        <f>IF(AtoutsHandicapsMatos!$C$9=A2,1,0)</f>
        <v>0</v>
      </c>
      <c r="G2">
        <f>IF(AtoutsHandicapsMatos!$C$10=A2,1,0)</f>
        <v>0</v>
      </c>
      <c r="H2">
        <f>IF(AtoutsHandicapsMatos!$C$11=A2,1,0)</f>
        <v>0</v>
      </c>
      <c r="I2">
        <f>IF(AtoutsHandicapsMatos!$C$12=A2,1,0)</f>
        <v>0</v>
      </c>
      <c r="J2">
        <f>IF(AtoutsHandicapsMatos!$C$13=A2,1,0)</f>
        <v>0</v>
      </c>
      <c r="K2">
        <f>IF(AtoutsHandicapsMatos!$C$14=A2,1,0)</f>
        <v>0</v>
      </c>
      <c r="L2">
        <f>IF('Perso Reloaded'!$L$20=A2,1,0)</f>
        <v>0</v>
      </c>
      <c r="M2">
        <f>IF('Perso Reloaded'!$L$21=A2,1,0)</f>
        <v>0</v>
      </c>
      <c r="N2">
        <f>IF('Perso Reloaded'!$L$22=A2,1,0)</f>
        <v>0</v>
      </c>
      <c r="O2">
        <f>IF('Perso Reloaded'!$L$23=A2,1,0)</f>
        <v>0</v>
      </c>
      <c r="P2">
        <f>IF('Perso Reloaded'!$L$24=A2,1,0)</f>
        <v>0</v>
      </c>
      <c r="Q2">
        <f>IF('Perso Reloaded'!$L$25=A2,1,0)</f>
        <v>0</v>
      </c>
      <c r="R2">
        <f>IF('Perso Reloaded'!$L$26=A2,1,0)</f>
        <v>0</v>
      </c>
      <c r="S2">
        <f>IF('Perso Reloaded'!$L$27=A2,1,0)</f>
        <v>0</v>
      </c>
      <c r="T2">
        <f t="shared" ref="T2:T65" si="0">SUM(B2:S2)</f>
        <v>0</v>
      </c>
      <c r="U2" t="b">
        <f t="shared" ref="U2:U65" si="1">IF(T2=0,FALSE,TRUE)</f>
        <v>0</v>
      </c>
      <c r="V2" s="11" t="b">
        <f>IF(OR('Perso Classic'!$V$8="X",'Perso Reloaded'!$AA$8="X",'Aide à la création'!$M$23="X"),TRUE,FALSE)</f>
        <v>0</v>
      </c>
      <c r="W2" s="3">
        <f>IF(AND('Perso Reloaded'!$C$7="",'Perso Classic'!$C$7=""),0,IF('Perso Reloaded'!$C$7="",'Perso Classic'!$C$7,IF('Perso Classic'!$C$7="",'Perso Reloaded'!$C$7,"")))</f>
        <v>0</v>
      </c>
      <c r="X2" s="3">
        <f>IF(AND('Perso Reloaded'!$E$14="",'Perso Classic'!$E$50=""),0,IF('Perso Reloaded'!$E$14="",'Perso Classic'!$E$50,IF('Perso Classic'!$E$50="",'Perso Reloaded'!$E$14,"")))</f>
        <v>0</v>
      </c>
      <c r="Y2" s="3">
        <f>IF(AND('Perso Reloaded'!$E$12="",'Perso Classic'!$E$41=""),0,IF('Perso Reloaded'!$E$12="",'Perso Classic'!$E$41,IF('Perso Classic'!$E$41="",'Perso Reloaded'!$E$12,"")))</f>
        <v>0</v>
      </c>
      <c r="Z2" s="3">
        <f>(IF('Perso Classic'!$J$6="",'Perso Reloaded'!$J$6,IF('Perso Reloaded'!$J$6="",'Perso Classic'!$J$6,0)))</f>
        <v>0</v>
      </c>
      <c r="AA2" s="3">
        <f>'Perso Reloaded'!$R$11+IF(VWW=TRUE,20,0)</f>
        <v>0</v>
      </c>
    </row>
    <row r="3" spans="1:29" x14ac:dyDescent="0.3">
      <c r="A3" s="65" t="s">
        <v>1370</v>
      </c>
      <c r="B3">
        <f>IF(AtoutsHandicapsMatos!$C$5=A3,1,0)</f>
        <v>0</v>
      </c>
      <c r="C3">
        <f>IF(AtoutsHandicapsMatos!$C$6=A3,1,0)</f>
        <v>0</v>
      </c>
      <c r="D3">
        <f>IF(AtoutsHandicapsMatos!$C$7=A3,1,0)</f>
        <v>0</v>
      </c>
      <c r="E3">
        <f>IF(AtoutsHandicapsMatos!$C$8=A3,1,0)</f>
        <v>0</v>
      </c>
      <c r="F3">
        <f>IF(AtoutsHandicapsMatos!$C$9=A3,1,0)</f>
        <v>0</v>
      </c>
      <c r="G3">
        <f>IF(AtoutsHandicapsMatos!$C$10=A3,1,0)</f>
        <v>0</v>
      </c>
      <c r="H3">
        <f>IF(AtoutsHandicapsMatos!$C$11=A3,1,0)</f>
        <v>0</v>
      </c>
      <c r="I3">
        <f>IF(AtoutsHandicapsMatos!$C$12=A3,1,0)</f>
        <v>0</v>
      </c>
      <c r="J3">
        <f>IF(AtoutsHandicapsMatos!$C$13=A3,1,0)</f>
        <v>0</v>
      </c>
      <c r="K3">
        <f>IF(AtoutsHandicapsMatos!$C$14=A3,1,0)</f>
        <v>0</v>
      </c>
      <c r="L3">
        <f>IF('Perso Reloaded'!$L$20=A3,1,0)</f>
        <v>0</v>
      </c>
      <c r="M3">
        <f>IF('Perso Reloaded'!$L$21=A3,1,0)</f>
        <v>0</v>
      </c>
      <c r="N3">
        <f>IF('Perso Reloaded'!$L$22=A3,1,0)</f>
        <v>0</v>
      </c>
      <c r="O3">
        <f>IF('Perso Reloaded'!$L$23=A3,1,0)</f>
        <v>0</v>
      </c>
      <c r="P3">
        <f>IF('Perso Reloaded'!$L$24=A3,1,0)</f>
        <v>0</v>
      </c>
      <c r="Q3">
        <f>IF('Perso Reloaded'!$L$25=A3,1,0)</f>
        <v>0</v>
      </c>
      <c r="R3">
        <f>IF('Perso Reloaded'!$L$26=A3,1,0)</f>
        <v>0</v>
      </c>
      <c r="S3">
        <f>IF('Perso Reloaded'!$L$27=A3,1,0)</f>
        <v>0</v>
      </c>
      <c r="T3">
        <f t="shared" si="0"/>
        <v>0</v>
      </c>
      <c r="U3" t="b">
        <f t="shared" si="1"/>
        <v>0</v>
      </c>
      <c r="V3" s="270" t="s">
        <v>3787</v>
      </c>
      <c r="W3" s="270" t="s">
        <v>3788</v>
      </c>
      <c r="X3" s="271" t="s">
        <v>3790</v>
      </c>
      <c r="Y3" s="271" t="s">
        <v>3915</v>
      </c>
    </row>
    <row r="4" spans="1:29" x14ac:dyDescent="0.3">
      <c r="A4" s="65" t="s">
        <v>1371</v>
      </c>
      <c r="B4">
        <f>IF(AtoutsHandicapsMatos!$C$5=A4,1,0)</f>
        <v>0</v>
      </c>
      <c r="C4">
        <f>IF(AtoutsHandicapsMatos!$C$6=A4,1,0)</f>
        <v>0</v>
      </c>
      <c r="D4">
        <f>IF(AtoutsHandicapsMatos!$C$7=A4,1,0)</f>
        <v>0</v>
      </c>
      <c r="E4">
        <f>IF(AtoutsHandicapsMatos!$C$8=A4,1,0)</f>
        <v>0</v>
      </c>
      <c r="F4">
        <f>IF(AtoutsHandicapsMatos!$C$9=A4,1,0)</f>
        <v>0</v>
      </c>
      <c r="G4">
        <f>IF(AtoutsHandicapsMatos!$C$10=A4,1,0)</f>
        <v>0</v>
      </c>
      <c r="H4">
        <f>IF(AtoutsHandicapsMatos!$C$11=A4,1,0)</f>
        <v>0</v>
      </c>
      <c r="I4">
        <f>IF(AtoutsHandicapsMatos!$C$12=A4,1,0)</f>
        <v>0</v>
      </c>
      <c r="J4">
        <f>IF(AtoutsHandicapsMatos!$C$13=A4,1,0)</f>
        <v>0</v>
      </c>
      <c r="K4">
        <f>IF(AtoutsHandicapsMatos!$C$14=A4,1,0)</f>
        <v>0</v>
      </c>
      <c r="L4">
        <f>IF('Perso Reloaded'!$L$20=A4,1,0)</f>
        <v>0</v>
      </c>
      <c r="M4">
        <f>IF('Perso Reloaded'!$L$21=A4,1,0)</f>
        <v>0</v>
      </c>
      <c r="N4">
        <f>IF('Perso Reloaded'!$L$22=A4,1,0)</f>
        <v>0</v>
      </c>
      <c r="O4">
        <f>IF('Perso Reloaded'!$L$23=A4,1,0)</f>
        <v>0</v>
      </c>
      <c r="P4">
        <f>IF('Perso Reloaded'!$L$24=A4,1,0)</f>
        <v>0</v>
      </c>
      <c r="Q4">
        <f>IF('Perso Reloaded'!$L$25=A4,1,0)</f>
        <v>0</v>
      </c>
      <c r="R4">
        <f>IF('Perso Reloaded'!$L$26=A4,1,0)</f>
        <v>0</v>
      </c>
      <c r="S4">
        <f>IF('Perso Reloaded'!$L$27=A4,1,0)</f>
        <v>0</v>
      </c>
      <c r="T4">
        <f t="shared" si="0"/>
        <v>0</v>
      </c>
      <c r="U4" t="b">
        <f t="shared" si="1"/>
        <v>0</v>
      </c>
      <c r="V4" s="3">
        <f>IF(AND('Perso Reloaded'!$E$13="",'Perso Classic'!$E$31=""),0,IF('Perso Reloaded'!$E$13="",'Perso Classic'!$E$31,IF('Perso Classic'!$E$31="",'Perso Reloaded'!$E$13,"")))</f>
        <v>0</v>
      </c>
      <c r="W4" s="3">
        <f>IF(AND('Perso Reloaded'!$E$16="",'Perso Classic'!$E$51=""),0,IF('Perso Reloaded'!$E$16="",'Perso Classic'!$E$51,IF('Perso Classic'!$E$51="",'Perso Reloaded'!$E$16,"")))</f>
        <v>0</v>
      </c>
      <c r="X4" s="3">
        <f>IF(AND('Perso Reloaded'!$N$4="",'Perso Classic'!$M$4=""),0,IF('Perso Reloaded'!$N$4="",'Perso Classic'!$M$4,IF('Perso Classic'!$M$4="",'Perso Reloaded'!$N$4,"")))</f>
        <v>0</v>
      </c>
      <c r="Y4" s="3">
        <f>IF(AND('Perso Reloaded'!$J$6="",'Perso Classic'!$J$6=""),0,IF('Perso Reloaded'!$J$6="",'Perso Classic'!$J$6,IF('Perso Classic'!$J$6="",'Perso Reloaded'!$J$6,"")))</f>
        <v>0</v>
      </c>
    </row>
    <row r="5" spans="1:29" x14ac:dyDescent="0.3">
      <c r="A5" s="65" t="s">
        <v>1372</v>
      </c>
      <c r="B5">
        <f>IF(AtoutsHandicapsMatos!$C$5=A5,1,0)</f>
        <v>0</v>
      </c>
      <c r="C5">
        <f>IF(AtoutsHandicapsMatos!$C$6=A5,1,0)</f>
        <v>0</v>
      </c>
      <c r="D5">
        <f>IF(AtoutsHandicapsMatos!$C$7=A5,1,0)</f>
        <v>0</v>
      </c>
      <c r="E5">
        <f>IF(AtoutsHandicapsMatos!$C$8=A5,1,0)</f>
        <v>0</v>
      </c>
      <c r="F5">
        <f>IF(AtoutsHandicapsMatos!$C$9=A5,1,0)</f>
        <v>0</v>
      </c>
      <c r="G5">
        <f>IF(AtoutsHandicapsMatos!$C$10=A5,1,0)</f>
        <v>0</v>
      </c>
      <c r="H5">
        <f>IF(AtoutsHandicapsMatos!$C$11=A5,1,0)</f>
        <v>0</v>
      </c>
      <c r="I5">
        <f>IF(AtoutsHandicapsMatos!$C$12=A5,1,0)</f>
        <v>0</v>
      </c>
      <c r="J5">
        <f>IF(AtoutsHandicapsMatos!$C$13=A5,1,0)</f>
        <v>0</v>
      </c>
      <c r="K5">
        <f>IF(AtoutsHandicapsMatos!$C$14=A5,1,0)</f>
        <v>0</v>
      </c>
      <c r="L5">
        <f>IF('Perso Reloaded'!$L$20=A5,1,0)</f>
        <v>0</v>
      </c>
      <c r="M5">
        <f>IF('Perso Reloaded'!$L$21=A5,1,0)</f>
        <v>0</v>
      </c>
      <c r="N5">
        <f>IF('Perso Reloaded'!$L$22=A5,1,0)</f>
        <v>0</v>
      </c>
      <c r="O5">
        <f>IF('Perso Reloaded'!$L$23=A5,1,0)</f>
        <v>0</v>
      </c>
      <c r="P5">
        <f>IF('Perso Reloaded'!$L$24=A5,1,0)</f>
        <v>0</v>
      </c>
      <c r="Q5">
        <f>IF('Perso Reloaded'!$L$25=A5,1,0)</f>
        <v>0</v>
      </c>
      <c r="R5">
        <f>IF('Perso Reloaded'!$L$26=A5,1,0)</f>
        <v>0</v>
      </c>
      <c r="S5">
        <f>IF('Perso Reloaded'!$L$27=A5,1,0)</f>
        <v>0</v>
      </c>
      <c r="T5">
        <f t="shared" si="0"/>
        <v>0</v>
      </c>
      <c r="U5" t="b">
        <f t="shared" si="1"/>
        <v>0</v>
      </c>
      <c r="V5" s="270" t="s">
        <v>4240</v>
      </c>
      <c r="W5" s="357" t="s">
        <v>4256</v>
      </c>
      <c r="X5" s="359" t="s">
        <v>4273</v>
      </c>
      <c r="Y5" s="276" t="s">
        <v>4265</v>
      </c>
      <c r="Z5" s="276" t="s">
        <v>4266</v>
      </c>
      <c r="AA5" s="361" t="s">
        <v>4267</v>
      </c>
      <c r="AB5" s="355" t="s">
        <v>4268</v>
      </c>
      <c r="AC5" s="362" t="s">
        <v>4271</v>
      </c>
    </row>
    <row r="6" spans="1:29" x14ac:dyDescent="0.3">
      <c r="A6" s="65" t="s">
        <v>1373</v>
      </c>
      <c r="B6">
        <f>IF(AtoutsHandicapsMatos!$C$5=A6,1,0)</f>
        <v>0</v>
      </c>
      <c r="C6">
        <f>IF(AtoutsHandicapsMatos!$C$6=A6,1,0)</f>
        <v>0</v>
      </c>
      <c r="D6">
        <f>IF(AtoutsHandicapsMatos!$C$7=A6,1,0)</f>
        <v>0</v>
      </c>
      <c r="E6">
        <f>IF(AtoutsHandicapsMatos!$C$8=A6,1,0)</f>
        <v>0</v>
      </c>
      <c r="F6">
        <f>IF(AtoutsHandicapsMatos!$C$9=A6,1,0)</f>
        <v>0</v>
      </c>
      <c r="G6">
        <f>IF(AtoutsHandicapsMatos!$C$10=A6,1,0)</f>
        <v>0</v>
      </c>
      <c r="H6">
        <f>IF(AtoutsHandicapsMatos!$C$11=A6,1,0)</f>
        <v>0</v>
      </c>
      <c r="I6">
        <f>IF(AtoutsHandicapsMatos!$C$12=A6,1,0)</f>
        <v>0</v>
      </c>
      <c r="J6">
        <f>IF(AtoutsHandicapsMatos!$C$13=A6,1,0)</f>
        <v>0</v>
      </c>
      <c r="K6">
        <f>IF(AtoutsHandicapsMatos!$C$14=A6,1,0)</f>
        <v>0</v>
      </c>
      <c r="L6">
        <f>IF('Perso Reloaded'!$L$20=A6,1,0)</f>
        <v>0</v>
      </c>
      <c r="M6">
        <f>IF('Perso Reloaded'!$L$21=A6,1,0)</f>
        <v>0</v>
      </c>
      <c r="N6">
        <f>IF('Perso Reloaded'!$L$22=A6,1,0)</f>
        <v>0</v>
      </c>
      <c r="O6">
        <f>IF('Perso Reloaded'!$L$23=A6,1,0)</f>
        <v>0</v>
      </c>
      <c r="P6">
        <f>IF('Perso Reloaded'!$L$24=A6,1,0)</f>
        <v>0</v>
      </c>
      <c r="Q6">
        <f>IF('Perso Reloaded'!$L$25=A6,1,0)</f>
        <v>0</v>
      </c>
      <c r="R6">
        <f>IF('Perso Reloaded'!$L$26=A6,1,0)</f>
        <v>0</v>
      </c>
      <c r="S6">
        <f>IF('Perso Reloaded'!$L$27=A6,1,0)</f>
        <v>0</v>
      </c>
      <c r="T6">
        <f t="shared" si="0"/>
        <v>0</v>
      </c>
      <c r="U6" t="b">
        <f t="shared" si="1"/>
        <v>0</v>
      </c>
      <c r="V6" s="11">
        <f>MAX(V7:V19)</f>
        <v>0</v>
      </c>
      <c r="W6" s="358">
        <f>SUM(W7:W17)</f>
        <v>0</v>
      </c>
      <c r="X6" s="354">
        <f>SUM(X7:X17)</f>
        <v>0</v>
      </c>
      <c r="Y6" s="3">
        <f>SUM(Y7:Y20)</f>
        <v>0</v>
      </c>
      <c r="Z6" s="3">
        <f>SUM(Z7:Z21)+6</f>
        <v>6</v>
      </c>
      <c r="AA6" s="354">
        <f>SUM(AA7:AA13)</f>
        <v>0</v>
      </c>
      <c r="AB6" s="3">
        <f>SUM(AB7:AB13)</f>
        <v>0</v>
      </c>
      <c r="AC6" s="358">
        <f>SUM(AC7:AC13)</f>
        <v>0</v>
      </c>
    </row>
    <row r="7" spans="1:29" x14ac:dyDescent="0.3">
      <c r="A7" s="65" t="s">
        <v>3429</v>
      </c>
      <c r="B7">
        <f>IF(AtoutsHandicapsMatos!$C$5=A7,1,0)</f>
        <v>0</v>
      </c>
      <c r="C7">
        <f>IF(AtoutsHandicapsMatos!$C$6=A7,1,0)</f>
        <v>0</v>
      </c>
      <c r="D7">
        <f>IF(AtoutsHandicapsMatos!$C$7=A7,1,0)</f>
        <v>0</v>
      </c>
      <c r="E7">
        <f>IF(AtoutsHandicapsMatos!$C$8=A7,1,0)</f>
        <v>0</v>
      </c>
      <c r="F7">
        <f>IF(AtoutsHandicapsMatos!$C$9=A7,1,0)</f>
        <v>0</v>
      </c>
      <c r="G7">
        <f>IF(AtoutsHandicapsMatos!$C$10=A7,1,0)</f>
        <v>0</v>
      </c>
      <c r="H7">
        <f>IF(AtoutsHandicapsMatos!$C$11=A7,1,0)</f>
        <v>0</v>
      </c>
      <c r="I7">
        <f>IF(AtoutsHandicapsMatos!$C$12=A7,1,0)</f>
        <v>0</v>
      </c>
      <c r="J7">
        <f>IF(AtoutsHandicapsMatos!$C$13=A7,1,0)</f>
        <v>0</v>
      </c>
      <c r="K7">
        <f>IF(AtoutsHandicapsMatos!$C$14=A7,1,0)</f>
        <v>0</v>
      </c>
      <c r="L7">
        <f>IF('Perso Reloaded'!$L$20=A7,1,0)</f>
        <v>0</v>
      </c>
      <c r="M7">
        <f>IF('Perso Reloaded'!$L$21=A7,1,0)</f>
        <v>0</v>
      </c>
      <c r="N7">
        <f>IF('Perso Reloaded'!$L$22=A7,1,0)</f>
        <v>0</v>
      </c>
      <c r="O7">
        <f>IF('Perso Reloaded'!$L$23=A7,1,0)</f>
        <v>0</v>
      </c>
      <c r="P7">
        <f>IF('Perso Reloaded'!$L$24=A7,1,0)</f>
        <v>0</v>
      </c>
      <c r="Q7">
        <f>IF('Perso Reloaded'!$L$25=A7,1,0)</f>
        <v>0</v>
      </c>
      <c r="R7">
        <f>IF('Perso Reloaded'!$L$26=A7,1,0)</f>
        <v>0</v>
      </c>
      <c r="S7">
        <f>IF('Perso Reloaded'!$L$27=A7,1,0)</f>
        <v>0</v>
      </c>
      <c r="T7">
        <f t="shared" si="0"/>
        <v>0</v>
      </c>
      <c r="U7" t="b">
        <f t="shared" si="1"/>
        <v>0</v>
      </c>
      <c r="V7" s="347">
        <f>IF('Perso Reloaded'!B21="Combat",VLOOKUP('Perso Reloaded'!B21,'Perso Reloaded'!B21:I33,8,FALSE),0)</f>
        <v>0</v>
      </c>
      <c r="W7" s="340">
        <f>IF(AtoutsHandicapsMatos!C5="Nouveau Pouvoir",1,0)</f>
        <v>0</v>
      </c>
      <c r="X7" s="339">
        <f>IF(AtoutsHandicapsMatos!C5="Points de Pouvoir",5,0)</f>
        <v>0</v>
      </c>
      <c r="Y7" s="347">
        <f>IF(Accoutlégère=TRUE,-1,0)</f>
        <v>0</v>
      </c>
      <c r="Z7" s="347">
        <f>IF(Piedl1=TRUE,1,0)</f>
        <v>0</v>
      </c>
      <c r="AA7" s="339">
        <f>IF(acrobate=TRUE,1,0)</f>
        <v>0</v>
      </c>
      <c r="AB7" s="347">
        <f>IF(Baraqué=TRUE,1,0)</f>
        <v>0</v>
      </c>
      <c r="AC7" s="340">
        <f>IF(DàC=TRUE,1,0)</f>
        <v>0</v>
      </c>
    </row>
    <row r="8" spans="1:29" x14ac:dyDescent="0.3">
      <c r="A8" s="65" t="s">
        <v>3437</v>
      </c>
      <c r="B8">
        <f>IF(AtoutsHandicapsMatos!$C$5=A8,1,0)</f>
        <v>0</v>
      </c>
      <c r="C8">
        <f>IF(AtoutsHandicapsMatos!$C$6=A8,1,0)</f>
        <v>0</v>
      </c>
      <c r="D8">
        <f>IF(AtoutsHandicapsMatos!$C$7=A8,1,0)</f>
        <v>0</v>
      </c>
      <c r="E8">
        <f>IF(AtoutsHandicapsMatos!$C$8=A8,1,0)</f>
        <v>0</v>
      </c>
      <c r="F8">
        <f>IF(AtoutsHandicapsMatos!$C$9=A8,1,0)</f>
        <v>0</v>
      </c>
      <c r="G8">
        <f>IF(AtoutsHandicapsMatos!$C$10=A8,1,0)</f>
        <v>0</v>
      </c>
      <c r="H8">
        <f>IF(AtoutsHandicapsMatos!$C$11=A8,1,0)</f>
        <v>0</v>
      </c>
      <c r="I8">
        <f>IF(AtoutsHandicapsMatos!$C$12=A8,1,0)</f>
        <v>0</v>
      </c>
      <c r="J8">
        <f>IF(AtoutsHandicapsMatos!$C$13=A8,1,0)</f>
        <v>0</v>
      </c>
      <c r="K8">
        <f>IF(AtoutsHandicapsMatos!$C$14=A8,1,0)</f>
        <v>0</v>
      </c>
      <c r="L8">
        <f>IF('Perso Reloaded'!$L$20=A8,1,0)</f>
        <v>0</v>
      </c>
      <c r="M8">
        <f>IF('Perso Reloaded'!$L$21=A8,1,0)</f>
        <v>0</v>
      </c>
      <c r="N8">
        <f>IF('Perso Reloaded'!$L$22=A8,1,0)</f>
        <v>0</v>
      </c>
      <c r="O8">
        <f>IF('Perso Reloaded'!$L$23=A8,1,0)</f>
        <v>0</v>
      </c>
      <c r="P8">
        <f>IF('Perso Reloaded'!$L$24=A8,1,0)</f>
        <v>0</v>
      </c>
      <c r="Q8">
        <f>IF('Perso Reloaded'!$L$25=A8,1,0)</f>
        <v>0</v>
      </c>
      <c r="R8">
        <f>IF('Perso Reloaded'!$L$26=A8,1,0)</f>
        <v>0</v>
      </c>
      <c r="S8">
        <f>IF('Perso Reloaded'!$L$27=A8,1,0)</f>
        <v>0</v>
      </c>
      <c r="T8">
        <f t="shared" si="0"/>
        <v>0</v>
      </c>
      <c r="U8" t="b">
        <f t="shared" si="1"/>
        <v>0</v>
      </c>
      <c r="V8" s="347">
        <f>IF('Perso Reloaded'!B22="Combat",VLOOKUP('Perso Reloaded'!B22,'Perso Reloaded'!B22:I34,8,FALSE),0)</f>
        <v>0</v>
      </c>
      <c r="W8" s="340">
        <f>IF(AtoutsHandicapsMatos!C6="Nouveau Pouvoir",1,0)</f>
        <v>0</v>
      </c>
      <c r="X8" s="339">
        <f>IF(AtoutsHandicapsMatos!C6="Points de Pouvoir",5,0)</f>
        <v>0</v>
      </c>
      <c r="Y8" s="347">
        <f>IF(Aura1=TRUE,-1,0)</f>
        <v>0</v>
      </c>
      <c r="Z8" s="347">
        <f>IF(Piedl2=TRUE,1,0)</f>
        <v>0</v>
      </c>
      <c r="AA8" s="339">
        <f>IF(Bloc1=TRUE,1,0)</f>
        <v>0</v>
      </c>
      <c r="AB8" s="347">
        <f>IF(Coriace=TRUE,1,0)</f>
        <v>0</v>
      </c>
      <c r="AC8" s="342">
        <f>IF(Piedtendre=TRUE,-1,0)</f>
        <v>0</v>
      </c>
    </row>
    <row r="9" spans="1:29" x14ac:dyDescent="0.3">
      <c r="A9" s="65" t="s">
        <v>3350</v>
      </c>
      <c r="B9">
        <f>IF(AtoutsHandicapsMatos!$C$5=A9,1,0)</f>
        <v>0</v>
      </c>
      <c r="C9">
        <f>IF(AtoutsHandicapsMatos!$C$6=A9,1,0)</f>
        <v>0</v>
      </c>
      <c r="D9">
        <f>IF(AtoutsHandicapsMatos!$C$7=A9,1,0)</f>
        <v>0</v>
      </c>
      <c r="E9">
        <f>IF(AtoutsHandicapsMatos!$C$8=A9,1,0)</f>
        <v>0</v>
      </c>
      <c r="F9">
        <f>IF(AtoutsHandicapsMatos!$C$9=A9,1,0)</f>
        <v>0</v>
      </c>
      <c r="G9">
        <f>IF(AtoutsHandicapsMatos!$C$10=A9,1,0)</f>
        <v>0</v>
      </c>
      <c r="H9">
        <f>IF(AtoutsHandicapsMatos!$C$11=A9,1,0)</f>
        <v>0</v>
      </c>
      <c r="I9">
        <f>IF(AtoutsHandicapsMatos!$C$12=A9,1,0)</f>
        <v>0</v>
      </c>
      <c r="J9">
        <f>IF(AtoutsHandicapsMatos!$C$13=A9,1,0)</f>
        <v>0</v>
      </c>
      <c r="K9">
        <f>IF(AtoutsHandicapsMatos!$C$14=A9,1,0)</f>
        <v>0</v>
      </c>
      <c r="L9">
        <f>IF('Perso Reloaded'!$L$20=A9,1,0)</f>
        <v>0</v>
      </c>
      <c r="M9">
        <f>IF('Perso Reloaded'!$L$21=A9,1,0)</f>
        <v>0</v>
      </c>
      <c r="N9">
        <f>IF('Perso Reloaded'!$L$22=A9,1,0)</f>
        <v>0</v>
      </c>
      <c r="O9">
        <f>IF('Perso Reloaded'!$L$23=A9,1,0)</f>
        <v>0</v>
      </c>
      <c r="P9">
        <f>IF('Perso Reloaded'!$L$24=A9,1,0)</f>
        <v>0</v>
      </c>
      <c r="Q9">
        <f>IF('Perso Reloaded'!$L$25=A9,1,0)</f>
        <v>0</v>
      </c>
      <c r="R9">
        <f>IF('Perso Reloaded'!$L$26=A9,1,0)</f>
        <v>0</v>
      </c>
      <c r="S9">
        <f>IF('Perso Reloaded'!$L$27=A9,1,0)</f>
        <v>0</v>
      </c>
      <c r="T9">
        <f t="shared" si="0"/>
        <v>0</v>
      </c>
      <c r="U9" t="b">
        <f t="shared" si="1"/>
        <v>0</v>
      </c>
      <c r="V9" s="347">
        <f>IF('Perso Reloaded'!B23="Combat",VLOOKUP('Perso Reloaded'!B23,'Perso Reloaded'!B23:I35,8,FALSE),0)</f>
        <v>0</v>
      </c>
      <c r="W9" s="340">
        <f>IF(AtoutsHandicapsMatos!C7="Nouveau Pouvoir",1,0)</f>
        <v>0</v>
      </c>
      <c r="X9" s="339">
        <f>IF(AtoutsHandicapsMatos!C7="Points de Pouvoir",5,0)</f>
        <v>0</v>
      </c>
      <c r="Y9" s="347">
        <f>IF(Aura2=TRUE,-1,0)</f>
        <v>0</v>
      </c>
      <c r="Z9" s="347">
        <f>IF(Piedl3=TRUE,1,0)</f>
        <v>0</v>
      </c>
      <c r="AA9" s="339">
        <f>IF(Bloc2=TRUE,1,0)</f>
        <v>0</v>
      </c>
      <c r="AB9" s="347">
        <f>IF(Endurci=TRUE,1,0)</f>
        <v>0</v>
      </c>
    </row>
    <row r="10" spans="1:29" x14ac:dyDescent="0.3">
      <c r="A10" s="65" t="s">
        <v>1289</v>
      </c>
      <c r="B10">
        <f>IF(AtoutsHandicapsMatos!$C$5=A10,1,0)</f>
        <v>0</v>
      </c>
      <c r="C10">
        <f>IF(AtoutsHandicapsMatos!$C$6=A10,1,0)</f>
        <v>0</v>
      </c>
      <c r="D10">
        <f>IF(AtoutsHandicapsMatos!$C$7=A10,1,0)</f>
        <v>0</v>
      </c>
      <c r="E10">
        <f>IF(AtoutsHandicapsMatos!$C$8=A10,1,0)</f>
        <v>0</v>
      </c>
      <c r="F10">
        <f>IF(AtoutsHandicapsMatos!$C$9=A10,1,0)</f>
        <v>0</v>
      </c>
      <c r="G10">
        <f>IF(AtoutsHandicapsMatos!$C$10=A10,1,0)</f>
        <v>0</v>
      </c>
      <c r="H10">
        <f>IF(AtoutsHandicapsMatos!$C$11=A10,1,0)</f>
        <v>0</v>
      </c>
      <c r="I10">
        <f>IF(AtoutsHandicapsMatos!$C$12=A10,1,0)</f>
        <v>0</v>
      </c>
      <c r="J10">
        <f>IF(AtoutsHandicapsMatos!$C$13=A10,1,0)</f>
        <v>0</v>
      </c>
      <c r="K10">
        <f>IF(AtoutsHandicapsMatos!$C$14=A10,1,0)</f>
        <v>0</v>
      </c>
      <c r="L10">
        <f>IF('Perso Reloaded'!$L$20=A10,1,0)</f>
        <v>0</v>
      </c>
      <c r="M10">
        <f>IF('Perso Reloaded'!$L$21=A10,1,0)</f>
        <v>0</v>
      </c>
      <c r="N10">
        <f>IF('Perso Reloaded'!$L$22=A10,1,0)</f>
        <v>0</v>
      </c>
      <c r="O10">
        <f>IF('Perso Reloaded'!$L$23=A10,1,0)</f>
        <v>0</v>
      </c>
      <c r="P10">
        <f>IF('Perso Reloaded'!$L$24=A10,1,0)</f>
        <v>0</v>
      </c>
      <c r="Q10">
        <f>IF('Perso Reloaded'!$L$25=A10,1,0)</f>
        <v>0</v>
      </c>
      <c r="R10">
        <f>IF('Perso Reloaded'!$L$26=A10,1,0)</f>
        <v>0</v>
      </c>
      <c r="S10">
        <f>IF('Perso Reloaded'!$L$27=A10,1,0)</f>
        <v>0</v>
      </c>
      <c r="T10">
        <f t="shared" si="0"/>
        <v>0</v>
      </c>
      <c r="U10" t="b">
        <f t="shared" si="1"/>
        <v>0</v>
      </c>
      <c r="V10" s="347">
        <f>IF('Perso Reloaded'!B24="Combat",VLOOKUP('Perso Reloaded'!B24,'Perso Reloaded'!B24:I36,8,FALSE),0)</f>
        <v>0</v>
      </c>
      <c r="W10" s="340">
        <f>IF(AtoutsHandicapsMatos!C8="Nouveau Pouvoir",1,0)</f>
        <v>0</v>
      </c>
      <c r="X10" s="339">
        <f>IF(AtoutsHandicapsMatos!C8="Points de Pouvoir",5,0)</f>
        <v>0</v>
      </c>
      <c r="Y10" s="347">
        <f>IF(Aura3=TRUE,-1,0)</f>
        <v>0</v>
      </c>
      <c r="Z10" s="347">
        <f>IF(Piedl4=TRUE,1,0)</f>
        <v>0</v>
      </c>
      <c r="AA10" s="339">
        <f>IF(Bloc3=TRUE,1,0)</f>
        <v>0</v>
      </c>
      <c r="AB10" s="347">
        <f>IF(Baraqué=TRUE,1,0)</f>
        <v>0</v>
      </c>
    </row>
    <row r="11" spans="1:29" x14ac:dyDescent="0.3">
      <c r="A11" s="65" t="s">
        <v>264</v>
      </c>
      <c r="B11">
        <f>IF(AtoutsHandicapsMatos!$C$5=A11,1,0)</f>
        <v>0</v>
      </c>
      <c r="C11">
        <f>IF(AtoutsHandicapsMatos!$C$6=A11,1,0)</f>
        <v>0</v>
      </c>
      <c r="D11">
        <f>IF(AtoutsHandicapsMatos!$C$7=A11,1,0)</f>
        <v>0</v>
      </c>
      <c r="E11">
        <f>IF(AtoutsHandicapsMatos!$C$8=A11,1,0)</f>
        <v>0</v>
      </c>
      <c r="F11">
        <f>IF(AtoutsHandicapsMatos!$C$9=A11,1,0)</f>
        <v>0</v>
      </c>
      <c r="G11">
        <f>IF(AtoutsHandicapsMatos!$C$10=A11,1,0)</f>
        <v>0</v>
      </c>
      <c r="H11">
        <f>IF(AtoutsHandicapsMatos!$C$11=A11,1,0)</f>
        <v>0</v>
      </c>
      <c r="I11">
        <f>IF(AtoutsHandicapsMatos!$C$12=A11,1,0)</f>
        <v>0</v>
      </c>
      <c r="J11">
        <f>IF(AtoutsHandicapsMatos!$C$13=A11,1,0)</f>
        <v>0</v>
      </c>
      <c r="K11">
        <f>IF(AtoutsHandicapsMatos!$C$14=A11,1,0)</f>
        <v>0</v>
      </c>
      <c r="L11">
        <f>IF('Perso Reloaded'!$L$20=A11,1,0)</f>
        <v>0</v>
      </c>
      <c r="M11">
        <f>IF('Perso Reloaded'!$L$21=A11,1,0)</f>
        <v>0</v>
      </c>
      <c r="N11">
        <f>IF('Perso Reloaded'!$L$22=A11,1,0)</f>
        <v>0</v>
      </c>
      <c r="O11">
        <f>IF('Perso Reloaded'!$L$23=A11,1,0)</f>
        <v>0</v>
      </c>
      <c r="P11">
        <f>IF('Perso Reloaded'!$L$24=A11,1,0)</f>
        <v>0</v>
      </c>
      <c r="Q11">
        <f>IF('Perso Reloaded'!$L$25=A11,1,0)</f>
        <v>0</v>
      </c>
      <c r="R11">
        <f>IF('Perso Reloaded'!$L$26=A11,1,0)</f>
        <v>0</v>
      </c>
      <c r="S11">
        <f>IF('Perso Reloaded'!$L$27=A11,1,0)</f>
        <v>0</v>
      </c>
      <c r="T11">
        <f t="shared" si="0"/>
        <v>0</v>
      </c>
      <c r="U11" t="b">
        <f t="shared" si="1"/>
        <v>0</v>
      </c>
      <c r="V11" s="347">
        <f>IF('Perso Reloaded'!B25="Combat",VLOOKUP('Perso Reloaded'!B25,'Perso Reloaded'!B25:I37,8,FALSE),0)</f>
        <v>0</v>
      </c>
      <c r="W11" s="340">
        <f>IF(AtoutsHandicapsMatos!C9="Nouveau Pouvoir",1,0)</f>
        <v>0</v>
      </c>
      <c r="X11" s="339">
        <f>IF(AtoutsHandicapsMatos!C9="Points de Pouvoir",5,0)</f>
        <v>0</v>
      </c>
      <c r="Y11" s="347">
        <f>IF(Aura4=TRUE,-1,0)</f>
        <v>0</v>
      </c>
      <c r="Z11" s="347">
        <f>IF(Piedl5=TRUE,1,0)</f>
        <v>0</v>
      </c>
      <c r="AA11" s="339">
        <f>IF(Bloc4=TRUE,1,0)</f>
        <v>0</v>
      </c>
      <c r="AB11" s="347">
        <f>IF(GrosTas2=TRUE,1,0)</f>
        <v>0</v>
      </c>
    </row>
    <row r="12" spans="1:29" x14ac:dyDescent="0.3">
      <c r="A12" s="65" t="s">
        <v>3626</v>
      </c>
      <c r="B12">
        <f>IF(AtoutsHandicapsMatos!$C$5=A12,1,0)</f>
        <v>0</v>
      </c>
      <c r="C12">
        <f>IF(AtoutsHandicapsMatos!$C$6=A12,1,0)</f>
        <v>0</v>
      </c>
      <c r="D12">
        <f>IF(AtoutsHandicapsMatos!$C$7=A12,1,0)</f>
        <v>0</v>
      </c>
      <c r="E12">
        <f>IF(AtoutsHandicapsMatos!$C$8=A12,1,0)</f>
        <v>0</v>
      </c>
      <c r="F12">
        <f>IF(AtoutsHandicapsMatos!$C$9=A12,1,0)</f>
        <v>0</v>
      </c>
      <c r="G12">
        <f>IF(AtoutsHandicapsMatos!$C$10=A12,1,0)</f>
        <v>0</v>
      </c>
      <c r="H12">
        <f>IF(AtoutsHandicapsMatos!$C$11=A12,1,0)</f>
        <v>0</v>
      </c>
      <c r="I12">
        <f>IF(AtoutsHandicapsMatos!$C$12=A12,1,0)</f>
        <v>0</v>
      </c>
      <c r="J12">
        <f>IF(AtoutsHandicapsMatos!$C$13=A12,1,0)</f>
        <v>0</v>
      </c>
      <c r="K12">
        <f>IF(AtoutsHandicapsMatos!$C$14=A12,1,0)</f>
        <v>0</v>
      </c>
      <c r="L12">
        <f>IF('Perso Reloaded'!$L$20=A12,1,0)</f>
        <v>0</v>
      </c>
      <c r="M12">
        <f>IF('Perso Reloaded'!$L$21=A12,1,0)</f>
        <v>0</v>
      </c>
      <c r="N12">
        <f>IF('Perso Reloaded'!$L$22=A12,1,0)</f>
        <v>0</v>
      </c>
      <c r="O12">
        <f>IF('Perso Reloaded'!$L$23=A12,1,0)</f>
        <v>0</v>
      </c>
      <c r="P12">
        <f>IF('Perso Reloaded'!$L$24=A12,1,0)</f>
        <v>0</v>
      </c>
      <c r="Q12">
        <f>IF('Perso Reloaded'!$L$25=A12,1,0)</f>
        <v>0</v>
      </c>
      <c r="R12">
        <f>IF('Perso Reloaded'!$L$26=A12,1,0)</f>
        <v>0</v>
      </c>
      <c r="S12">
        <f>IF('Perso Reloaded'!$L$27=A12,1,0)</f>
        <v>0</v>
      </c>
      <c r="T12">
        <f t="shared" si="0"/>
        <v>0</v>
      </c>
      <c r="U12" t="b">
        <f t="shared" si="1"/>
        <v>0</v>
      </c>
      <c r="V12" s="347">
        <f>IF('Perso Reloaded'!B26="Combat",VLOOKUP('Perso Reloaded'!B26,'Perso Reloaded'!B26:I38,8,FALSE),0)</f>
        <v>0</v>
      </c>
      <c r="W12" s="340">
        <f>IF(AtoutsHandicapsMatos!C10="Nouveau Pouvoir",1,0)</f>
        <v>0</v>
      </c>
      <c r="X12" s="339">
        <f>IF(AtoutsHandicapsMatos!C10="Points de Pouvoir",5,0)</f>
        <v>0</v>
      </c>
      <c r="Y12" s="347">
        <f>IF(Aura5=TRUE,-1,0)</f>
        <v>0</v>
      </c>
      <c r="Z12" s="347">
        <f>IF(Boiteux1=TRUE,-1,0)</f>
        <v>0</v>
      </c>
      <c r="AA12" s="339">
        <f>IF(mda=TRUE,1,0)</f>
        <v>0</v>
      </c>
      <c r="AB12" s="347">
        <f>IF(GrosTas1=TRUE,1,0)</f>
        <v>0</v>
      </c>
    </row>
    <row r="13" spans="1:29" x14ac:dyDescent="0.3">
      <c r="A13" s="65" t="s">
        <v>3627</v>
      </c>
      <c r="B13">
        <f>IF(AtoutsHandicapsMatos!$C$5=A13,1,0)</f>
        <v>0</v>
      </c>
      <c r="C13">
        <f>IF(AtoutsHandicapsMatos!$C$6=A13,1,0)</f>
        <v>0</v>
      </c>
      <c r="D13">
        <f>IF(AtoutsHandicapsMatos!$C$7=A13,1,0)</f>
        <v>0</v>
      </c>
      <c r="E13">
        <f>IF(AtoutsHandicapsMatos!$C$8=A13,1,0)</f>
        <v>0</v>
      </c>
      <c r="F13">
        <f>IF(AtoutsHandicapsMatos!$C$9=A13,1,0)</f>
        <v>0</v>
      </c>
      <c r="G13">
        <f>IF(AtoutsHandicapsMatos!$C$10=A13,1,0)</f>
        <v>0</v>
      </c>
      <c r="H13">
        <f>IF(AtoutsHandicapsMatos!$C$11=A13,1,0)</f>
        <v>0</v>
      </c>
      <c r="I13">
        <f>IF(AtoutsHandicapsMatos!$C$12=A13,1,0)</f>
        <v>0</v>
      </c>
      <c r="J13">
        <f>IF(AtoutsHandicapsMatos!$C$13=A13,1,0)</f>
        <v>0</v>
      </c>
      <c r="K13">
        <f>IF(AtoutsHandicapsMatos!$C$14=A13,1,0)</f>
        <v>0</v>
      </c>
      <c r="L13">
        <f>IF('Perso Reloaded'!$L$20=A13,1,0)</f>
        <v>0</v>
      </c>
      <c r="M13">
        <f>IF('Perso Reloaded'!$L$21=A13,1,0)</f>
        <v>0</v>
      </c>
      <c r="N13">
        <f>IF('Perso Reloaded'!$L$22=A13,1,0)</f>
        <v>0</v>
      </c>
      <c r="O13">
        <f>IF('Perso Reloaded'!$L$23=A13,1,0)</f>
        <v>0</v>
      </c>
      <c r="P13">
        <f>IF('Perso Reloaded'!$L$24=A13,1,0)</f>
        <v>0</v>
      </c>
      <c r="Q13">
        <f>IF('Perso Reloaded'!$L$25=A13,1,0)</f>
        <v>0</v>
      </c>
      <c r="R13">
        <f>IF('Perso Reloaded'!$L$26=A13,1,0)</f>
        <v>0</v>
      </c>
      <c r="S13">
        <f>IF('Perso Reloaded'!$L$27=A13,1,0)</f>
        <v>0</v>
      </c>
      <c r="T13">
        <f t="shared" si="0"/>
        <v>0</v>
      </c>
      <c r="U13" t="b">
        <f t="shared" si="1"/>
        <v>0</v>
      </c>
      <c r="V13" s="347">
        <f>IF('Perso Reloaded'!B27="Combat",VLOOKUP('Perso Reloaded'!B27,'Perso Reloaded'!B27:I39,8,FALSE),0)</f>
        <v>0</v>
      </c>
      <c r="W13" s="340">
        <f>IF(AtoutsHandicapsMatos!C11="Nouveau Pouvoir",1,0)</f>
        <v>0</v>
      </c>
      <c r="X13" s="339">
        <f>IF(AtoutsHandicapsMatos!C11="Points de Pouvoir",5,0)</f>
        <v>0</v>
      </c>
      <c r="Y13" s="347">
        <f>IF(borgne=TRUE,-1,0)</f>
        <v>0</v>
      </c>
      <c r="Z13" s="347">
        <f>IF(Croulant1=TRUE,-1,0)</f>
        <v>0</v>
      </c>
      <c r="AA13" s="341">
        <f>IF(mdal=TRUE,1,0)</f>
        <v>0</v>
      </c>
      <c r="AB13" s="347">
        <f>IF(Rachitique=TRUE,-1,0)</f>
        <v>0</v>
      </c>
    </row>
    <row r="14" spans="1:29" x14ac:dyDescent="0.3">
      <c r="A14" s="65" t="s">
        <v>3628</v>
      </c>
      <c r="B14">
        <f>IF(AtoutsHandicapsMatos!$C$5=A14,1,0)</f>
        <v>0</v>
      </c>
      <c r="C14">
        <f>IF(AtoutsHandicapsMatos!$C$6=A14,1,0)</f>
        <v>0</v>
      </c>
      <c r="D14">
        <f>IF(AtoutsHandicapsMatos!$C$7=A14,1,0)</f>
        <v>0</v>
      </c>
      <c r="E14">
        <f>IF(AtoutsHandicapsMatos!$C$8=A14,1,0)</f>
        <v>0</v>
      </c>
      <c r="F14">
        <f>IF(AtoutsHandicapsMatos!$C$9=A14,1,0)</f>
        <v>0</v>
      </c>
      <c r="G14">
        <f>IF(AtoutsHandicapsMatos!$C$10=A14,1,0)</f>
        <v>0</v>
      </c>
      <c r="H14">
        <f>IF(AtoutsHandicapsMatos!$C$11=A14,1,0)</f>
        <v>0</v>
      </c>
      <c r="I14">
        <f>IF(AtoutsHandicapsMatos!$C$12=A14,1,0)</f>
        <v>0</v>
      </c>
      <c r="J14">
        <f>IF(AtoutsHandicapsMatos!$C$13=A14,1,0)</f>
        <v>0</v>
      </c>
      <c r="K14">
        <f>IF(AtoutsHandicapsMatos!$C$14=A14,1,0)</f>
        <v>0</v>
      </c>
      <c r="L14">
        <f>IF('Perso Reloaded'!$L$20=A14,1,0)</f>
        <v>0</v>
      </c>
      <c r="M14">
        <f>IF('Perso Reloaded'!$L$21=A14,1,0)</f>
        <v>0</v>
      </c>
      <c r="N14">
        <f>IF('Perso Reloaded'!$L$22=A14,1,0)</f>
        <v>0</v>
      </c>
      <c r="O14">
        <f>IF('Perso Reloaded'!$L$23=A14,1,0)</f>
        <v>0</v>
      </c>
      <c r="P14">
        <f>IF('Perso Reloaded'!$L$24=A14,1,0)</f>
        <v>0</v>
      </c>
      <c r="Q14">
        <f>IF('Perso Reloaded'!$L$25=A14,1,0)</f>
        <v>0</v>
      </c>
      <c r="R14">
        <f>IF('Perso Reloaded'!$L$26=A14,1,0)</f>
        <v>0</v>
      </c>
      <c r="S14">
        <f>IF('Perso Reloaded'!$L$27=A14,1,0)</f>
        <v>0</v>
      </c>
      <c r="T14">
        <f t="shared" si="0"/>
        <v>0</v>
      </c>
      <c r="U14" t="b">
        <f t="shared" si="1"/>
        <v>0</v>
      </c>
      <c r="V14" s="347">
        <f>IF('Perso Reloaded'!B28="Combat",VLOOKUP('Perso Reloaded'!B28,'Perso Reloaded'!B28:I40,8,FALSE),0)</f>
        <v>0</v>
      </c>
      <c r="W14" s="340">
        <f>IF(AtoutsHandicapsMatos!C12="Nouveau Pouvoir",1,0)</f>
        <v>0</v>
      </c>
      <c r="X14" s="339">
        <f>IF(AtoutsHandicapsMatos!C12="Points de Pouvoir",5,0)</f>
        <v>0</v>
      </c>
      <c r="Y14" s="347">
        <f>IF(étranger=TRUE,-1,0)</f>
        <v>0</v>
      </c>
      <c r="Z14" s="347">
        <f>IF(Croulant2=TRUE,-2,0)</f>
        <v>0</v>
      </c>
      <c r="AB14" s="11">
        <f>IF(Petit=TRUE,-1,0)</f>
        <v>0</v>
      </c>
    </row>
    <row r="15" spans="1:29" x14ac:dyDescent="0.3">
      <c r="A15" s="65" t="s">
        <v>3629</v>
      </c>
      <c r="B15">
        <f>IF(AtoutsHandicapsMatos!$C$5=A15,1,0)</f>
        <v>0</v>
      </c>
      <c r="C15">
        <f>IF(AtoutsHandicapsMatos!$C$6=A15,1,0)</f>
        <v>0</v>
      </c>
      <c r="D15">
        <f>IF(AtoutsHandicapsMatos!$C$7=A15,1,0)</f>
        <v>0</v>
      </c>
      <c r="E15">
        <f>IF(AtoutsHandicapsMatos!$C$8=A15,1,0)</f>
        <v>0</v>
      </c>
      <c r="F15">
        <f>IF(AtoutsHandicapsMatos!$C$9=A15,1,0)</f>
        <v>0</v>
      </c>
      <c r="G15">
        <f>IF(AtoutsHandicapsMatos!$C$10=A15,1,0)</f>
        <v>0</v>
      </c>
      <c r="H15">
        <f>IF(AtoutsHandicapsMatos!$C$11=A15,1,0)</f>
        <v>0</v>
      </c>
      <c r="I15">
        <f>IF(AtoutsHandicapsMatos!$C$12=A15,1,0)</f>
        <v>0</v>
      </c>
      <c r="J15">
        <f>IF(AtoutsHandicapsMatos!$C$13=A15,1,0)</f>
        <v>0</v>
      </c>
      <c r="K15">
        <f>IF(AtoutsHandicapsMatos!$C$14=A15,1,0)</f>
        <v>0</v>
      </c>
      <c r="L15">
        <f>IF('Perso Reloaded'!$L$20=A15,1,0)</f>
        <v>0</v>
      </c>
      <c r="M15">
        <f>IF('Perso Reloaded'!$L$21=A15,1,0)</f>
        <v>0</v>
      </c>
      <c r="N15">
        <f>IF('Perso Reloaded'!$L$22=A15,1,0)</f>
        <v>0</v>
      </c>
      <c r="O15">
        <f>IF('Perso Reloaded'!$L$23=A15,1,0)</f>
        <v>0</v>
      </c>
      <c r="P15">
        <f>IF('Perso Reloaded'!$L$24=A15,1,0)</f>
        <v>0</v>
      </c>
      <c r="Q15">
        <f>IF('Perso Reloaded'!$L$25=A15,1,0)</f>
        <v>0</v>
      </c>
      <c r="R15">
        <f>IF('Perso Reloaded'!$L$26=A15,1,0)</f>
        <v>0</v>
      </c>
      <c r="S15">
        <f>IF('Perso Reloaded'!$L$27=A15,1,0)</f>
        <v>0</v>
      </c>
      <c r="T15">
        <f t="shared" si="0"/>
        <v>0</v>
      </c>
      <c r="U15" t="b">
        <f t="shared" si="1"/>
        <v>0</v>
      </c>
      <c r="V15" s="347">
        <f>IF('Perso Reloaded'!B29="Combat",VLOOKUP('Perso Reloaded'!B29,'Perso Reloaded'!B29:I41,8,FALSE),0)</f>
        <v>0</v>
      </c>
      <c r="W15" s="340">
        <f>IF(AtoutsHandicapsMatos!C13="Nouveau Pouvoir",1,0)</f>
        <v>0</v>
      </c>
      <c r="X15" s="339">
        <f>IF(AtoutsHandicapsMatos!C13="Points de Pouvoir",5,0)</f>
        <v>0</v>
      </c>
      <c r="Y15" s="347">
        <f>IF(Lcup=TRUE,-2,0)</f>
        <v>0</v>
      </c>
      <c r="Z15" s="347">
        <f>IF(GrosTas2=TRUE,-1,0)</f>
        <v>0</v>
      </c>
    </row>
    <row r="16" spans="1:29" x14ac:dyDescent="0.3">
      <c r="A16" s="65" t="s">
        <v>3630</v>
      </c>
      <c r="B16">
        <f>IF(AtoutsHandicapsMatos!$C$5=A16,1,0)</f>
        <v>0</v>
      </c>
      <c r="C16">
        <f>IF(AtoutsHandicapsMatos!$C$6=A16,1,0)</f>
        <v>0</v>
      </c>
      <c r="D16">
        <f>IF(AtoutsHandicapsMatos!$C$7=A16,1,0)</f>
        <v>0</v>
      </c>
      <c r="E16">
        <f>IF(AtoutsHandicapsMatos!$C$8=A16,1,0)</f>
        <v>0</v>
      </c>
      <c r="F16">
        <f>IF(AtoutsHandicapsMatos!$C$9=A16,1,0)</f>
        <v>0</v>
      </c>
      <c r="G16">
        <f>IF(AtoutsHandicapsMatos!$C$10=A16,1,0)</f>
        <v>0</v>
      </c>
      <c r="H16">
        <f>IF(AtoutsHandicapsMatos!$C$11=A16,1,0)</f>
        <v>0</v>
      </c>
      <c r="I16">
        <f>IF(AtoutsHandicapsMatos!$C$12=A16,1,0)</f>
        <v>0</v>
      </c>
      <c r="J16">
        <f>IF(AtoutsHandicapsMatos!$C$13=A16,1,0)</f>
        <v>0</v>
      </c>
      <c r="K16">
        <f>IF(AtoutsHandicapsMatos!$C$14=A16,1,0)</f>
        <v>0</v>
      </c>
      <c r="L16">
        <f>IF('Perso Reloaded'!$L$20=A16,1,0)</f>
        <v>0</v>
      </c>
      <c r="M16">
        <f>IF('Perso Reloaded'!$L$21=A16,1,0)</f>
        <v>0</v>
      </c>
      <c r="N16">
        <f>IF('Perso Reloaded'!$L$22=A16,1,0)</f>
        <v>0</v>
      </c>
      <c r="O16">
        <f>IF('Perso Reloaded'!$L$23=A16,1,0)</f>
        <v>0</v>
      </c>
      <c r="P16">
        <f>IF('Perso Reloaded'!$L$24=A16,1,0)</f>
        <v>0</v>
      </c>
      <c r="Q16">
        <f>IF('Perso Reloaded'!$L$25=A16,1,0)</f>
        <v>0</v>
      </c>
      <c r="R16">
        <f>IF('Perso Reloaded'!$L$26=A16,1,0)</f>
        <v>0</v>
      </c>
      <c r="S16">
        <f>IF('Perso Reloaded'!$L$27=A16,1,0)</f>
        <v>0</v>
      </c>
      <c r="T16">
        <f t="shared" si="0"/>
        <v>0</v>
      </c>
      <c r="U16" t="b">
        <f t="shared" si="1"/>
        <v>0</v>
      </c>
      <c r="V16" s="347">
        <f>IF('Perso Reloaded'!B30="Combat",VLOOKUP('Perso Reloaded'!B30,'Perso Reloaded'!B30:I42,8,FALSE),0)</f>
        <v>0</v>
      </c>
      <c r="W16" s="340">
        <f>IF(AtoutsHandicapsMatos!C14="Nouveau Pouvoir",1,0)</f>
        <v>0</v>
      </c>
      <c r="X16" s="341">
        <f>IF(AtoutsHandicapsMatos!C14="Points de Pouvoir",5,0)</f>
        <v>0</v>
      </c>
      <c r="Y16" s="347">
        <f>IF(mcut=TRUE,-2,0)</f>
        <v>0</v>
      </c>
      <c r="Z16" s="347">
        <f>IF(lambin1=TRUE,-1,0)</f>
        <v>0</v>
      </c>
    </row>
    <row r="17" spans="1:26" x14ac:dyDescent="0.3">
      <c r="A17" s="65" t="s">
        <v>5145</v>
      </c>
      <c r="B17">
        <f>IF(AtoutsHandicapsMatos!$C$5=A17,1,0)</f>
        <v>0</v>
      </c>
      <c r="C17">
        <f>IF(AtoutsHandicapsMatos!$C$6=A17,1,0)</f>
        <v>0</v>
      </c>
      <c r="D17">
        <f>IF(AtoutsHandicapsMatos!$C$7=A17,1,0)</f>
        <v>0</v>
      </c>
      <c r="E17">
        <f>IF(AtoutsHandicapsMatos!$C$8=A17,1,0)</f>
        <v>0</v>
      </c>
      <c r="F17">
        <f>IF(AtoutsHandicapsMatos!$C$9=A17,1,0)</f>
        <v>0</v>
      </c>
      <c r="G17">
        <f>IF(AtoutsHandicapsMatos!$C$10=A17,1,0)</f>
        <v>0</v>
      </c>
      <c r="H17">
        <f>IF(AtoutsHandicapsMatos!$C$11=A17,1,0)</f>
        <v>0</v>
      </c>
      <c r="I17">
        <f>IF(AtoutsHandicapsMatos!$C$12=A17,1,0)</f>
        <v>0</v>
      </c>
      <c r="J17">
        <f>IF(AtoutsHandicapsMatos!$C$13=A17,1,0)</f>
        <v>0</v>
      </c>
      <c r="K17">
        <f>IF(AtoutsHandicapsMatos!$C$14=A17,1,0)</f>
        <v>0</v>
      </c>
      <c r="L17">
        <f>IF('Perso Reloaded'!$L$20=A17,1,0)</f>
        <v>0</v>
      </c>
      <c r="M17">
        <f>IF('Perso Reloaded'!$L$21=A17,1,0)</f>
        <v>0</v>
      </c>
      <c r="N17">
        <f>IF('Perso Reloaded'!$L$22=A17,1,0)</f>
        <v>0</v>
      </c>
      <c r="O17">
        <f>IF('Perso Reloaded'!$L$23=A17,1,0)</f>
        <v>0</v>
      </c>
      <c r="P17">
        <f>IF('Perso Reloaded'!$L$24=A17,1,0)</f>
        <v>0</v>
      </c>
      <c r="Q17">
        <f>IF('Perso Reloaded'!$L$25=A17,1,0)</f>
        <v>0</v>
      </c>
      <c r="R17">
        <f>IF('Perso Reloaded'!$L$26=A17,1,0)</f>
        <v>0</v>
      </c>
      <c r="S17">
        <f>IF('Perso Reloaded'!$L$27=A17,1,0)</f>
        <v>0</v>
      </c>
      <c r="T17">
        <f t="shared" si="0"/>
        <v>0</v>
      </c>
      <c r="U17" t="b">
        <f t="shared" si="1"/>
        <v>0</v>
      </c>
      <c r="V17" s="347">
        <f>IF('Perso Reloaded'!B31="Combat",VLOOKUP('Perso Reloaded'!B31,'Perso Reloaded'!B31:I43,8,FALSE),0)</f>
        <v>0</v>
      </c>
      <c r="W17" s="340">
        <f>IF(Elèvedoué=TRUE,2,0)</f>
        <v>0</v>
      </c>
      <c r="Y17" s="347">
        <f>IF(sanguinaire=TRUE,-4,0)</f>
        <v>0</v>
      </c>
      <c r="Z17" s="347">
        <f>IF(lambin1=TRUE,-1,0)</f>
        <v>0</v>
      </c>
    </row>
    <row r="18" spans="1:26" x14ac:dyDescent="0.3">
      <c r="A18" s="65" t="s">
        <v>2104</v>
      </c>
      <c r="B18">
        <f>IF(AtoutsHandicapsMatos!$C$5=A18,1,0)</f>
        <v>0</v>
      </c>
      <c r="C18">
        <f>IF(AtoutsHandicapsMatos!$C$6=A18,1,0)</f>
        <v>0</v>
      </c>
      <c r="D18">
        <f>IF(AtoutsHandicapsMatos!$C$7=A18,1,0)</f>
        <v>0</v>
      </c>
      <c r="E18">
        <f>IF(AtoutsHandicapsMatos!$C$8=A18,1,0)</f>
        <v>0</v>
      </c>
      <c r="F18">
        <f>IF(AtoutsHandicapsMatos!$C$9=A18,1,0)</f>
        <v>0</v>
      </c>
      <c r="G18">
        <f>IF(AtoutsHandicapsMatos!$C$10=A18,1,0)</f>
        <v>0</v>
      </c>
      <c r="H18">
        <f>IF(AtoutsHandicapsMatos!$C$11=A18,1,0)</f>
        <v>0</v>
      </c>
      <c r="I18">
        <f>IF(AtoutsHandicapsMatos!$C$12=A18,1,0)</f>
        <v>0</v>
      </c>
      <c r="J18">
        <f>IF(AtoutsHandicapsMatos!$C$13=A18,1,0)</f>
        <v>0</v>
      </c>
      <c r="K18">
        <f>IF(AtoutsHandicapsMatos!$C$14=A18,1,0)</f>
        <v>0</v>
      </c>
      <c r="L18">
        <f>IF('Perso Reloaded'!$L$20=A18,1,0)</f>
        <v>0</v>
      </c>
      <c r="M18">
        <f>IF('Perso Reloaded'!$L$21=A18,1,0)</f>
        <v>0</v>
      </c>
      <c r="N18">
        <f>IF('Perso Reloaded'!$L$22=A18,1,0)</f>
        <v>0</v>
      </c>
      <c r="O18">
        <f>IF('Perso Reloaded'!$L$23=A18,1,0)</f>
        <v>0</v>
      </c>
      <c r="P18">
        <f>IF('Perso Reloaded'!$L$24=A18,1,0)</f>
        <v>0</v>
      </c>
      <c r="Q18">
        <f>IF('Perso Reloaded'!$L$25=A18,1,0)</f>
        <v>0</v>
      </c>
      <c r="R18">
        <f>IF('Perso Reloaded'!$L$26=A18,1,0)</f>
        <v>0</v>
      </c>
      <c r="S18">
        <f>IF('Perso Reloaded'!$L$27=A18,1,0)</f>
        <v>0</v>
      </c>
      <c r="T18">
        <f t="shared" si="0"/>
        <v>0</v>
      </c>
      <c r="U18" t="b">
        <f t="shared" si="1"/>
        <v>0</v>
      </c>
      <c r="V18" s="347">
        <f>IF('Perso Reloaded'!B32="Combat",VLOOKUP('Perso Reloaded'!B32,'Perso Reloaded'!B32:I44,8,FALSE),0)</f>
        <v>0</v>
      </c>
      <c r="W18" s="342"/>
      <c r="Y18" s="347">
        <f>IF(Sexy=TRUE,2,0)</f>
        <v>0</v>
      </c>
      <c r="Z18" s="347">
        <f>IF(lambin2=TRUE,-2,0)</f>
        <v>0</v>
      </c>
    </row>
    <row r="19" spans="1:26" x14ac:dyDescent="0.3">
      <c r="A19" s="65" t="s">
        <v>2241</v>
      </c>
      <c r="B19">
        <f>IF(AtoutsHandicapsMatos!$C$5=A19,1,0)</f>
        <v>0</v>
      </c>
      <c r="C19">
        <f>IF(AtoutsHandicapsMatos!$C$6=A19,1,0)</f>
        <v>0</v>
      </c>
      <c r="D19">
        <f>IF(AtoutsHandicapsMatos!$C$7=A19,1,0)</f>
        <v>0</v>
      </c>
      <c r="E19">
        <f>IF(AtoutsHandicapsMatos!$C$8=A19,1,0)</f>
        <v>0</v>
      </c>
      <c r="F19">
        <f>IF(AtoutsHandicapsMatos!$C$9=A19,1,0)</f>
        <v>0</v>
      </c>
      <c r="G19">
        <f>IF(AtoutsHandicapsMatos!$C$10=A19,1,0)</f>
        <v>0</v>
      </c>
      <c r="H19">
        <f>IF(AtoutsHandicapsMatos!$C$11=A19,1,0)</f>
        <v>0</v>
      </c>
      <c r="I19">
        <f>IF(AtoutsHandicapsMatos!$C$12=A19,1,0)</f>
        <v>0</v>
      </c>
      <c r="J19">
        <f>IF(AtoutsHandicapsMatos!$C$13=A19,1,0)</f>
        <v>0</v>
      </c>
      <c r="K19">
        <f>IF(AtoutsHandicapsMatos!$C$14=A19,1,0)</f>
        <v>0</v>
      </c>
      <c r="L19">
        <f>IF('Perso Reloaded'!$L$20=A19,1,0)</f>
        <v>0</v>
      </c>
      <c r="M19">
        <f>IF('Perso Reloaded'!$L$21=A19,1,0)</f>
        <v>0</v>
      </c>
      <c r="N19">
        <f>IF('Perso Reloaded'!$L$22=A19,1,0)</f>
        <v>0</v>
      </c>
      <c r="O19">
        <f>IF('Perso Reloaded'!$L$23=A19,1,0)</f>
        <v>0</v>
      </c>
      <c r="P19">
        <f>IF('Perso Reloaded'!$L$24=A19,1,0)</f>
        <v>0</v>
      </c>
      <c r="Q19">
        <f>IF('Perso Reloaded'!$L$25=A19,1,0)</f>
        <v>0</v>
      </c>
      <c r="R19">
        <f>IF('Perso Reloaded'!$L$26=A19,1,0)</f>
        <v>0</v>
      </c>
      <c r="S19">
        <f>IF('Perso Reloaded'!$L$27=A19,1,0)</f>
        <v>0</v>
      </c>
      <c r="T19">
        <f t="shared" si="0"/>
        <v>0</v>
      </c>
      <c r="U19" t="b">
        <f t="shared" si="1"/>
        <v>0</v>
      </c>
      <c r="V19" s="11">
        <f>IF('Perso Reloaded'!B33="Combat",VLOOKUP('Perso Reloaded'!B33,'Perso Reloaded'!B33:I45,8,FALSE),0)</f>
        <v>0</v>
      </c>
      <c r="Y19" s="347">
        <f>IF(Sexy2=TRUE,2,0)</f>
        <v>0</v>
      </c>
      <c r="Z19" s="347">
        <f>IF(lambin3=TRUE,-3,0)</f>
        <v>0</v>
      </c>
    </row>
    <row r="20" spans="1:26" x14ac:dyDescent="0.3">
      <c r="A20" s="65" t="s">
        <v>1714</v>
      </c>
      <c r="B20">
        <f>IF(AtoutsHandicapsMatos!$C$5=A20,1,0)</f>
        <v>0</v>
      </c>
      <c r="C20">
        <f>IF(AtoutsHandicapsMatos!$C$6=A20,1,0)</f>
        <v>0</v>
      </c>
      <c r="D20">
        <f>IF(AtoutsHandicapsMatos!$C$7=A20,1,0)</f>
        <v>0</v>
      </c>
      <c r="E20">
        <f>IF(AtoutsHandicapsMatos!$C$8=A20,1,0)</f>
        <v>0</v>
      </c>
      <c r="F20">
        <f>IF(AtoutsHandicapsMatos!$C$9=A20,1,0)</f>
        <v>0</v>
      </c>
      <c r="G20">
        <f>IF(AtoutsHandicapsMatos!$C$10=A20,1,0)</f>
        <v>0</v>
      </c>
      <c r="H20">
        <f>IF(AtoutsHandicapsMatos!$C$11=A20,1,0)</f>
        <v>0</v>
      </c>
      <c r="I20">
        <f>IF(AtoutsHandicapsMatos!$C$12=A20,1,0)</f>
        <v>0</v>
      </c>
      <c r="J20">
        <f>IF(AtoutsHandicapsMatos!$C$13=A20,1,0)</f>
        <v>0</v>
      </c>
      <c r="K20">
        <f>IF(AtoutsHandicapsMatos!$C$14=A20,1,0)</f>
        <v>0</v>
      </c>
      <c r="L20">
        <f>IF('Perso Reloaded'!$L$20=A20,1,0)</f>
        <v>0</v>
      </c>
      <c r="M20">
        <f>IF('Perso Reloaded'!$L$21=A20,1,0)</f>
        <v>0</v>
      </c>
      <c r="N20">
        <f>IF('Perso Reloaded'!$L$22=A20,1,0)</f>
        <v>0</v>
      </c>
      <c r="O20">
        <f>IF('Perso Reloaded'!$L$23=A20,1,0)</f>
        <v>0</v>
      </c>
      <c r="P20">
        <f>IF('Perso Reloaded'!$L$24=A20,1,0)</f>
        <v>0</v>
      </c>
      <c r="Q20">
        <f>IF('Perso Reloaded'!$L$25=A20,1,0)</f>
        <v>0</v>
      </c>
      <c r="R20">
        <f>IF('Perso Reloaded'!$L$26=A20,1,0)</f>
        <v>0</v>
      </c>
      <c r="S20">
        <f>IF('Perso Reloaded'!$L$27=A20,1,0)</f>
        <v>0</v>
      </c>
      <c r="T20">
        <f t="shared" si="0"/>
        <v>0</v>
      </c>
      <c r="U20" t="b">
        <f t="shared" si="1"/>
        <v>0</v>
      </c>
      <c r="Y20" s="11">
        <f>IF(Charismatique=TRUE,2,0)</f>
        <v>0</v>
      </c>
      <c r="Z20" s="347">
        <f>IF(lambin4=TRUE,-4,0)</f>
        <v>0</v>
      </c>
    </row>
    <row r="21" spans="1:26" x14ac:dyDescent="0.3">
      <c r="A21" s="65" t="s">
        <v>5253</v>
      </c>
      <c r="B21">
        <f>IF(AtoutsHandicapsMatos!$C$5=A21,1,0)</f>
        <v>0</v>
      </c>
      <c r="C21">
        <f>IF(AtoutsHandicapsMatos!$C$6=A21,1,0)</f>
        <v>0</v>
      </c>
      <c r="D21">
        <f>IF(AtoutsHandicapsMatos!$C$7=A21,1,0)</f>
        <v>0</v>
      </c>
      <c r="E21">
        <f>IF(AtoutsHandicapsMatos!$C$8=A21,1,0)</f>
        <v>0</v>
      </c>
      <c r="F21">
        <f>IF(AtoutsHandicapsMatos!$C$9=A21,1,0)</f>
        <v>0</v>
      </c>
      <c r="G21">
        <f>IF(AtoutsHandicapsMatos!$C$10=A21,1,0)</f>
        <v>0</v>
      </c>
      <c r="H21">
        <f>IF(AtoutsHandicapsMatos!$C$11=A21,1,0)</f>
        <v>0</v>
      </c>
      <c r="I21">
        <f>IF(AtoutsHandicapsMatos!$C$12=A21,1,0)</f>
        <v>0</v>
      </c>
      <c r="J21">
        <f>IF(AtoutsHandicapsMatos!$C$13=A21,1,0)</f>
        <v>0</v>
      </c>
      <c r="K21">
        <f>IF(AtoutsHandicapsMatos!$C$14=A21,1,0)</f>
        <v>0</v>
      </c>
      <c r="L21">
        <f>IF('Perso Reloaded'!$L$20=A21,1,0)</f>
        <v>0</v>
      </c>
      <c r="M21">
        <f>IF('Perso Reloaded'!$L$21=A21,1,0)</f>
        <v>0</v>
      </c>
      <c r="N21">
        <f>IF('Perso Reloaded'!$L$22=A21,1,0)</f>
        <v>0</v>
      </c>
      <c r="O21">
        <f>IF('Perso Reloaded'!$L$23=A21,1,0)</f>
        <v>0</v>
      </c>
      <c r="P21">
        <f>IF('Perso Reloaded'!$L$24=A21,1,0)</f>
        <v>0</v>
      </c>
      <c r="Q21">
        <f>IF('Perso Reloaded'!$L$25=A21,1,0)</f>
        <v>0</v>
      </c>
      <c r="R21">
        <f>IF('Perso Reloaded'!$L$26=A21,1,0)</f>
        <v>0</v>
      </c>
      <c r="S21">
        <f>IF('Perso Reloaded'!$L$27=A21,1,0)</f>
        <v>0</v>
      </c>
      <c r="T21">
        <f t="shared" si="0"/>
        <v>0</v>
      </c>
      <c r="U21" t="b">
        <f t="shared" si="1"/>
        <v>0</v>
      </c>
      <c r="Z21" s="11">
        <f>IF(lambin5=TRUE,-5,0)</f>
        <v>0</v>
      </c>
    </row>
    <row r="22" spans="1:26" x14ac:dyDescent="0.3">
      <c r="A22" s="65" t="s">
        <v>3864</v>
      </c>
      <c r="B22">
        <f>IF(AtoutsHandicapsMatos!$C$5=A22,1,0)</f>
        <v>0</v>
      </c>
      <c r="C22">
        <f>IF(AtoutsHandicapsMatos!$C$6=A22,1,0)</f>
        <v>0</v>
      </c>
      <c r="D22">
        <f>IF(AtoutsHandicapsMatos!$C$7=A22,1,0)</f>
        <v>0</v>
      </c>
      <c r="E22">
        <f>IF(AtoutsHandicapsMatos!$C$8=A22,1,0)</f>
        <v>0</v>
      </c>
      <c r="F22">
        <f>IF(AtoutsHandicapsMatos!$C$9=A22,1,0)</f>
        <v>0</v>
      </c>
      <c r="G22">
        <f>IF(AtoutsHandicapsMatos!$C$10=A22,1,0)</f>
        <v>0</v>
      </c>
      <c r="H22">
        <f>IF(AtoutsHandicapsMatos!$C$11=A22,1,0)</f>
        <v>0</v>
      </c>
      <c r="I22">
        <f>IF(AtoutsHandicapsMatos!$C$12=A22,1,0)</f>
        <v>0</v>
      </c>
      <c r="J22">
        <f>IF(AtoutsHandicapsMatos!$C$13=A22,1,0)</f>
        <v>0</v>
      </c>
      <c r="K22">
        <f>IF(AtoutsHandicapsMatos!$C$14=A22,1,0)</f>
        <v>0</v>
      </c>
      <c r="L22">
        <f>IF('Perso Reloaded'!$L$20=A22,1,0)</f>
        <v>0</v>
      </c>
      <c r="M22">
        <f>IF('Perso Reloaded'!$L$21=A22,1,0)</f>
        <v>0</v>
      </c>
      <c r="N22">
        <f>IF('Perso Reloaded'!$L$22=A22,1,0)</f>
        <v>0</v>
      </c>
      <c r="O22">
        <f>IF('Perso Reloaded'!$L$23=A22,1,0)</f>
        <v>0</v>
      </c>
      <c r="P22">
        <f>IF('Perso Reloaded'!$L$24=A22,1,0)</f>
        <v>0</v>
      </c>
      <c r="Q22">
        <f>IF('Perso Reloaded'!$L$25=A22,1,0)</f>
        <v>0</v>
      </c>
      <c r="R22">
        <f>IF('Perso Reloaded'!$L$26=A22,1,0)</f>
        <v>0</v>
      </c>
      <c r="S22">
        <f>IF('Perso Reloaded'!$L$27=A22,1,0)</f>
        <v>0</v>
      </c>
      <c r="T22">
        <f t="shared" si="0"/>
        <v>0</v>
      </c>
      <c r="U22" t="b">
        <f t="shared" si="1"/>
        <v>0</v>
      </c>
      <c r="V22" s="245" t="s">
        <v>4037</v>
      </c>
    </row>
    <row r="23" spans="1:26" x14ac:dyDescent="0.3">
      <c r="A23" s="65" t="s">
        <v>5138</v>
      </c>
      <c r="B23">
        <f>IF(AtoutsHandicapsMatos!$C$5=A23,1,0)</f>
        <v>0</v>
      </c>
      <c r="C23">
        <f>IF(AtoutsHandicapsMatos!$C$6=A23,1,0)</f>
        <v>0</v>
      </c>
      <c r="D23">
        <f>IF(AtoutsHandicapsMatos!$C$7=A23,1,0)</f>
        <v>0</v>
      </c>
      <c r="E23">
        <f>IF(AtoutsHandicapsMatos!$C$8=A23,1,0)</f>
        <v>0</v>
      </c>
      <c r="F23">
        <f>IF(AtoutsHandicapsMatos!$C$9=A23,1,0)</f>
        <v>0</v>
      </c>
      <c r="G23">
        <f>IF(AtoutsHandicapsMatos!$C$10=A23,1,0)</f>
        <v>0</v>
      </c>
      <c r="H23">
        <f>IF(AtoutsHandicapsMatos!$C$11=A23,1,0)</f>
        <v>0</v>
      </c>
      <c r="I23">
        <f>IF(AtoutsHandicapsMatos!$C$12=A23,1,0)</f>
        <v>0</v>
      </c>
      <c r="J23">
        <f>IF(AtoutsHandicapsMatos!$C$13=A23,1,0)</f>
        <v>0</v>
      </c>
      <c r="K23">
        <f>IF(AtoutsHandicapsMatos!$C$14=A23,1,0)</f>
        <v>0</v>
      </c>
      <c r="L23">
        <f>IF('Perso Reloaded'!$L$20=A23,1,0)</f>
        <v>0</v>
      </c>
      <c r="M23">
        <f>IF('Perso Reloaded'!$L$21=A23,1,0)</f>
        <v>0</v>
      </c>
      <c r="N23">
        <f>IF('Perso Reloaded'!$L$22=A23,1,0)</f>
        <v>0</v>
      </c>
      <c r="O23">
        <f>IF('Perso Reloaded'!$L$23=A23,1,0)</f>
        <v>0</v>
      </c>
      <c r="P23">
        <f>IF('Perso Reloaded'!$L$24=A23,1,0)</f>
        <v>0</v>
      </c>
      <c r="Q23">
        <f>IF('Perso Reloaded'!$L$25=A23,1,0)</f>
        <v>0</v>
      </c>
      <c r="R23">
        <f>IF('Perso Reloaded'!$L$26=A23,1,0)</f>
        <v>0</v>
      </c>
      <c r="S23">
        <f>IF('Perso Reloaded'!$L$27=A23,1,0)</f>
        <v>0</v>
      </c>
      <c r="T23">
        <f t="shared" si="0"/>
        <v>0</v>
      </c>
      <c r="U23" t="b">
        <f t="shared" si="1"/>
        <v>0</v>
      </c>
      <c r="V23" s="11" t="b">
        <f>IF(OR(U25=TRUE,mds=TRUE),TRUE,FALSE)</f>
        <v>0</v>
      </c>
    </row>
    <row r="24" spans="1:26" x14ac:dyDescent="0.3">
      <c r="A24" s="65" t="s">
        <v>1711</v>
      </c>
      <c r="B24">
        <f>IF(AtoutsHandicapsMatos!$C$5=A24,1,0)</f>
        <v>0</v>
      </c>
      <c r="C24">
        <f>IF(AtoutsHandicapsMatos!$C$6=A24,1,0)</f>
        <v>0</v>
      </c>
      <c r="D24">
        <f>IF(AtoutsHandicapsMatos!$C$7=A24,1,0)</f>
        <v>0</v>
      </c>
      <c r="E24">
        <f>IF(AtoutsHandicapsMatos!$C$8=A24,1,0)</f>
        <v>0</v>
      </c>
      <c r="F24">
        <f>IF(AtoutsHandicapsMatos!$C$9=A24,1,0)</f>
        <v>0</v>
      </c>
      <c r="G24">
        <f>IF(AtoutsHandicapsMatos!$C$10=A24,1,0)</f>
        <v>0</v>
      </c>
      <c r="H24">
        <f>IF(AtoutsHandicapsMatos!$C$11=A24,1,0)</f>
        <v>0</v>
      </c>
      <c r="I24">
        <f>IF(AtoutsHandicapsMatos!$C$12=A24,1,0)</f>
        <v>0</v>
      </c>
      <c r="J24">
        <f>IF(AtoutsHandicapsMatos!$C$13=A24,1,0)</f>
        <v>0</v>
      </c>
      <c r="K24">
        <f>IF(AtoutsHandicapsMatos!$C$14=A24,1,0)</f>
        <v>0</v>
      </c>
      <c r="L24">
        <f>IF('Perso Reloaded'!$L$20=A24,1,0)</f>
        <v>0</v>
      </c>
      <c r="M24">
        <f>IF('Perso Reloaded'!$L$21=A24,1,0)</f>
        <v>0</v>
      </c>
      <c r="N24">
        <f>IF('Perso Reloaded'!$L$22=A24,1,0)</f>
        <v>0</v>
      </c>
      <c r="O24">
        <f>IF('Perso Reloaded'!$L$23=A24,1,0)</f>
        <v>0</v>
      </c>
      <c r="P24">
        <f>IF('Perso Reloaded'!$L$24=A24,1,0)</f>
        <v>0</v>
      </c>
      <c r="Q24">
        <f>IF('Perso Reloaded'!$L$25=A24,1,0)</f>
        <v>0</v>
      </c>
      <c r="R24">
        <f>IF('Perso Reloaded'!$L$26=A24,1,0)</f>
        <v>0</v>
      </c>
      <c r="S24">
        <f>IF('Perso Reloaded'!$L$27=A24,1,0)</f>
        <v>0</v>
      </c>
      <c r="T24">
        <f t="shared" si="0"/>
        <v>0</v>
      </c>
      <c r="U24" t="b">
        <f t="shared" si="1"/>
        <v>0</v>
      </c>
      <c r="V24" s="245" t="s">
        <v>3667</v>
      </c>
    </row>
    <row r="25" spans="1:26" x14ac:dyDescent="0.3">
      <c r="A25" s="65" t="s">
        <v>1712</v>
      </c>
      <c r="B25">
        <f>IF(AtoutsHandicapsMatos!$C$5=A25,1,0)</f>
        <v>0</v>
      </c>
      <c r="C25">
        <f>IF(AtoutsHandicapsMatos!$C$6=A25,1,0)</f>
        <v>0</v>
      </c>
      <c r="D25">
        <f>IF(AtoutsHandicapsMatos!$C$7=A25,1,0)</f>
        <v>0</v>
      </c>
      <c r="E25">
        <f>IF(AtoutsHandicapsMatos!$C$8=A25,1,0)</f>
        <v>0</v>
      </c>
      <c r="F25">
        <f>IF(AtoutsHandicapsMatos!$C$9=A25,1,0)</f>
        <v>0</v>
      </c>
      <c r="G25">
        <f>IF(AtoutsHandicapsMatos!$C$10=A25,1,0)</f>
        <v>0</v>
      </c>
      <c r="H25">
        <f>IF(AtoutsHandicapsMatos!$C$11=A25,1,0)</f>
        <v>0</v>
      </c>
      <c r="I25">
        <f>IF(AtoutsHandicapsMatos!$C$12=A25,1,0)</f>
        <v>0</v>
      </c>
      <c r="J25">
        <f>IF(AtoutsHandicapsMatos!$C$13=A25,1,0)</f>
        <v>0</v>
      </c>
      <c r="K25">
        <f>IF(AtoutsHandicapsMatos!$C$14=A25,1,0)</f>
        <v>0</v>
      </c>
      <c r="L25">
        <f>IF('Perso Reloaded'!$L$20=A25,1,0)</f>
        <v>0</v>
      </c>
      <c r="M25">
        <f>IF('Perso Reloaded'!$L$21=A25,1,0)</f>
        <v>0</v>
      </c>
      <c r="N25">
        <f>IF('Perso Reloaded'!$L$22=A25,1,0)</f>
        <v>0</v>
      </c>
      <c r="O25">
        <f>IF('Perso Reloaded'!$L$23=A25,1,0)</f>
        <v>0</v>
      </c>
      <c r="P25">
        <f>IF('Perso Reloaded'!$L$24=A25,1,0)</f>
        <v>0</v>
      </c>
      <c r="Q25">
        <f>IF('Perso Reloaded'!$L$25=A25,1,0)</f>
        <v>0</v>
      </c>
      <c r="R25">
        <f>IF('Perso Reloaded'!$L$26=A25,1,0)</f>
        <v>0</v>
      </c>
      <c r="S25">
        <f>IF('Perso Reloaded'!$L$27=A25,1,0)</f>
        <v>0</v>
      </c>
      <c r="T25">
        <f t="shared" si="0"/>
        <v>0</v>
      </c>
      <c r="U25" t="b">
        <f t="shared" si="1"/>
        <v>0</v>
      </c>
      <c r="V25" s="11" t="b">
        <f>IF(OR(Aztèque=TRUE,Anahuac=TRUE,U21=TRUE),TRUE,FALSE)</f>
        <v>0</v>
      </c>
    </row>
    <row r="26" spans="1:26" x14ac:dyDescent="0.3">
      <c r="A26" s="65" t="s">
        <v>2776</v>
      </c>
      <c r="B26">
        <f>IF(AtoutsHandicapsMatos!$C$5=A26,1,0)</f>
        <v>0</v>
      </c>
      <c r="C26">
        <f>IF(AtoutsHandicapsMatos!$C$6=A26,1,0)</f>
        <v>0</v>
      </c>
      <c r="D26">
        <f>IF(AtoutsHandicapsMatos!$C$7=A26,1,0)</f>
        <v>0</v>
      </c>
      <c r="E26">
        <f>IF(AtoutsHandicapsMatos!$C$8=A26,1,0)</f>
        <v>0</v>
      </c>
      <c r="F26">
        <f>IF(AtoutsHandicapsMatos!$C$9=A26,1,0)</f>
        <v>0</v>
      </c>
      <c r="G26">
        <f>IF(AtoutsHandicapsMatos!$C$10=A26,1,0)</f>
        <v>0</v>
      </c>
      <c r="H26">
        <f>IF(AtoutsHandicapsMatos!$C$11=A26,1,0)</f>
        <v>0</v>
      </c>
      <c r="I26">
        <f>IF(AtoutsHandicapsMatos!$C$12=A26,1,0)</f>
        <v>0</v>
      </c>
      <c r="J26">
        <f>IF(AtoutsHandicapsMatos!$C$13=A26,1,0)</f>
        <v>0</v>
      </c>
      <c r="K26">
        <f>IF(AtoutsHandicapsMatos!$C$14=A26,1,0)</f>
        <v>0</v>
      </c>
      <c r="L26">
        <f>IF('Perso Reloaded'!$L$20=A26,1,0)</f>
        <v>0</v>
      </c>
      <c r="M26">
        <f>IF('Perso Reloaded'!$L$21=A26,1,0)</f>
        <v>0</v>
      </c>
      <c r="N26">
        <f>IF('Perso Reloaded'!$L$22=A26,1,0)</f>
        <v>0</v>
      </c>
      <c r="O26">
        <f>IF('Perso Reloaded'!$L$23=A26,1,0)</f>
        <v>0</v>
      </c>
      <c r="P26">
        <f>IF('Perso Reloaded'!$L$24=A26,1,0)</f>
        <v>0</v>
      </c>
      <c r="Q26">
        <f>IF('Perso Reloaded'!$L$25=A26,1,0)</f>
        <v>0</v>
      </c>
      <c r="R26">
        <f>IF('Perso Reloaded'!$L$26=A26,1,0)</f>
        <v>0</v>
      </c>
      <c r="S26">
        <f>IF('Perso Reloaded'!$L$27=A26,1,0)</f>
        <v>0</v>
      </c>
      <c r="T26">
        <f t="shared" si="0"/>
        <v>0</v>
      </c>
      <c r="U26" t="b">
        <f t="shared" si="1"/>
        <v>0</v>
      </c>
    </row>
    <row r="27" spans="1:26" x14ac:dyDescent="0.3">
      <c r="A27" s="65" t="s">
        <v>5133</v>
      </c>
      <c r="B27">
        <f>IF(AtoutsHandicapsMatos!$C$5=A27,1,0)</f>
        <v>0</v>
      </c>
      <c r="C27">
        <f>IF(AtoutsHandicapsMatos!$C$6=A27,1,0)</f>
        <v>0</v>
      </c>
      <c r="D27">
        <f>IF(AtoutsHandicapsMatos!$C$7=A27,1,0)</f>
        <v>0</v>
      </c>
      <c r="E27">
        <f>IF(AtoutsHandicapsMatos!$C$8=A27,1,0)</f>
        <v>0</v>
      </c>
      <c r="F27">
        <f>IF(AtoutsHandicapsMatos!$C$9=A27,1,0)</f>
        <v>0</v>
      </c>
      <c r="G27">
        <f>IF(AtoutsHandicapsMatos!$C$10=A27,1,0)</f>
        <v>0</v>
      </c>
      <c r="H27">
        <f>IF(AtoutsHandicapsMatos!$C$11=A27,1,0)</f>
        <v>0</v>
      </c>
      <c r="I27">
        <f>IF(AtoutsHandicapsMatos!$C$12=A27,1,0)</f>
        <v>0</v>
      </c>
      <c r="J27">
        <f>IF(AtoutsHandicapsMatos!$C$13=A27,1,0)</f>
        <v>0</v>
      </c>
      <c r="K27">
        <f>IF(AtoutsHandicapsMatos!$C$14=A27,1,0)</f>
        <v>0</v>
      </c>
      <c r="L27">
        <f>IF('Perso Reloaded'!$L$20=A27,1,0)</f>
        <v>0</v>
      </c>
      <c r="M27">
        <f>IF('Perso Reloaded'!$L$21=A27,1,0)</f>
        <v>0</v>
      </c>
      <c r="N27">
        <f>IF('Perso Reloaded'!$L$22=A27,1,0)</f>
        <v>0</v>
      </c>
      <c r="O27">
        <f>IF('Perso Reloaded'!$L$23=A27,1,0)</f>
        <v>0</v>
      </c>
      <c r="P27">
        <f>IF('Perso Reloaded'!$L$24=A27,1,0)</f>
        <v>0</v>
      </c>
      <c r="Q27">
        <f>IF('Perso Reloaded'!$L$25=A27,1,0)</f>
        <v>0</v>
      </c>
      <c r="R27">
        <f>IF('Perso Reloaded'!$L$26=A27,1,0)</f>
        <v>0</v>
      </c>
      <c r="S27">
        <f>IF('Perso Reloaded'!$L$27=A27,1,0)</f>
        <v>0</v>
      </c>
      <c r="T27">
        <f t="shared" si="0"/>
        <v>0</v>
      </c>
      <c r="U27" t="b">
        <f t="shared" si="1"/>
        <v>0</v>
      </c>
    </row>
    <row r="28" spans="1:26" x14ac:dyDescent="0.3">
      <c r="A28" s="65" t="s">
        <v>1713</v>
      </c>
      <c r="B28">
        <f>IF(AtoutsHandicapsMatos!$C$5=A28,1,0)</f>
        <v>0</v>
      </c>
      <c r="C28">
        <f>IF(AtoutsHandicapsMatos!$C$6=A28,1,0)</f>
        <v>0</v>
      </c>
      <c r="D28">
        <f>IF(AtoutsHandicapsMatos!$C$7=A28,1,0)</f>
        <v>0</v>
      </c>
      <c r="E28">
        <f>IF(AtoutsHandicapsMatos!$C$8=A28,1,0)</f>
        <v>0</v>
      </c>
      <c r="F28">
        <f>IF(AtoutsHandicapsMatos!$C$9=A28,1,0)</f>
        <v>0</v>
      </c>
      <c r="G28">
        <f>IF(AtoutsHandicapsMatos!$C$10=A28,1,0)</f>
        <v>0</v>
      </c>
      <c r="H28">
        <f>IF(AtoutsHandicapsMatos!$C$11=A28,1,0)</f>
        <v>0</v>
      </c>
      <c r="I28">
        <f>IF(AtoutsHandicapsMatos!$C$12=A28,1,0)</f>
        <v>0</v>
      </c>
      <c r="J28">
        <f>IF(AtoutsHandicapsMatos!$C$13=A28,1,0)</f>
        <v>0</v>
      </c>
      <c r="K28">
        <f>IF(AtoutsHandicapsMatos!$C$14=A28,1,0)</f>
        <v>0</v>
      </c>
      <c r="L28">
        <f>IF('Perso Reloaded'!$L$20=A28,1,0)</f>
        <v>0</v>
      </c>
      <c r="M28">
        <f>IF('Perso Reloaded'!$L$21=A28,1,0)</f>
        <v>0</v>
      </c>
      <c r="N28">
        <f>IF('Perso Reloaded'!$L$22=A28,1,0)</f>
        <v>0</v>
      </c>
      <c r="O28">
        <f>IF('Perso Reloaded'!$L$23=A28,1,0)</f>
        <v>0</v>
      </c>
      <c r="P28">
        <f>IF('Perso Reloaded'!$L$24=A28,1,0)</f>
        <v>0</v>
      </c>
      <c r="Q28">
        <f>IF('Perso Reloaded'!$L$25=A28,1,0)</f>
        <v>0</v>
      </c>
      <c r="R28">
        <f>IF('Perso Reloaded'!$L$26=A28,1,0)</f>
        <v>0</v>
      </c>
      <c r="S28">
        <f>IF('Perso Reloaded'!$L$27=A28,1,0)</f>
        <v>0</v>
      </c>
      <c r="T28">
        <f t="shared" si="0"/>
        <v>0</v>
      </c>
      <c r="U28" t="b">
        <f t="shared" si="1"/>
        <v>0</v>
      </c>
    </row>
    <row r="29" spans="1:26" x14ac:dyDescent="0.3">
      <c r="A29" s="65" t="s">
        <v>119</v>
      </c>
      <c r="B29">
        <f>IF(AtoutsHandicapsMatos!$C$5=A29,1,0)</f>
        <v>0</v>
      </c>
      <c r="C29">
        <f>IF(AtoutsHandicapsMatos!$C$6=A29,1,0)</f>
        <v>0</v>
      </c>
      <c r="D29">
        <f>IF(AtoutsHandicapsMatos!$C$7=A29,1,0)</f>
        <v>0</v>
      </c>
      <c r="E29">
        <f>IF(AtoutsHandicapsMatos!$C$8=A29,1,0)</f>
        <v>0</v>
      </c>
      <c r="F29">
        <f>IF(AtoutsHandicapsMatos!$C$9=A29,1,0)</f>
        <v>0</v>
      </c>
      <c r="G29">
        <f>IF(AtoutsHandicapsMatos!$C$10=A29,1,0)</f>
        <v>0</v>
      </c>
      <c r="H29">
        <f>IF(AtoutsHandicapsMatos!$C$11=A29,1,0)</f>
        <v>0</v>
      </c>
      <c r="I29">
        <f>IF(AtoutsHandicapsMatos!$C$12=A29,1,0)</f>
        <v>0</v>
      </c>
      <c r="J29">
        <f>IF(AtoutsHandicapsMatos!$C$13=A29,1,0)</f>
        <v>0</v>
      </c>
      <c r="K29">
        <f>IF(AtoutsHandicapsMatos!$C$14=A29,1,0)</f>
        <v>0</v>
      </c>
      <c r="L29">
        <f>IF('Perso Reloaded'!$L$20=A29,1,0)</f>
        <v>0</v>
      </c>
      <c r="M29">
        <f>IF('Perso Reloaded'!$L$21=A29,1,0)</f>
        <v>0</v>
      </c>
      <c r="N29">
        <f>IF('Perso Reloaded'!$L$22=A29,1,0)</f>
        <v>0</v>
      </c>
      <c r="O29">
        <f>IF('Perso Reloaded'!$L$23=A29,1,0)</f>
        <v>0</v>
      </c>
      <c r="P29">
        <f>IF('Perso Reloaded'!$L$24=A29,1,0)</f>
        <v>0</v>
      </c>
      <c r="Q29">
        <f>IF('Perso Reloaded'!$L$25=A29,1,0)</f>
        <v>0</v>
      </c>
      <c r="R29">
        <f>IF('Perso Reloaded'!$L$26=A29,1,0)</f>
        <v>0</v>
      </c>
      <c r="S29">
        <f>IF('Perso Reloaded'!$L$27=A29,1,0)</f>
        <v>0</v>
      </c>
      <c r="T29">
        <f t="shared" si="0"/>
        <v>0</v>
      </c>
      <c r="U29" t="b">
        <f t="shared" si="1"/>
        <v>0</v>
      </c>
    </row>
    <row r="30" spans="1:26" x14ac:dyDescent="0.3">
      <c r="A30" s="65" t="s">
        <v>3214</v>
      </c>
      <c r="B30">
        <f>IF(AtoutsHandicapsMatos!$C$5=A30,1,0)</f>
        <v>0</v>
      </c>
      <c r="C30">
        <f>IF(AtoutsHandicapsMatos!$C$6=A30,1,0)</f>
        <v>0</v>
      </c>
      <c r="D30">
        <f>IF(AtoutsHandicapsMatos!$C$7=A30,1,0)</f>
        <v>0</v>
      </c>
      <c r="E30">
        <f>IF(AtoutsHandicapsMatos!$C$8=A30,1,0)</f>
        <v>0</v>
      </c>
      <c r="F30">
        <f>IF(AtoutsHandicapsMatos!$C$9=A30,1,0)</f>
        <v>0</v>
      </c>
      <c r="G30">
        <f>IF(AtoutsHandicapsMatos!$C$10=A30,1,0)</f>
        <v>0</v>
      </c>
      <c r="H30">
        <f>IF(AtoutsHandicapsMatos!$C$11=A30,1,0)</f>
        <v>0</v>
      </c>
      <c r="I30">
        <f>IF(AtoutsHandicapsMatos!$C$12=A30,1,0)</f>
        <v>0</v>
      </c>
      <c r="J30">
        <f>IF(AtoutsHandicapsMatos!$C$13=A30,1,0)</f>
        <v>0</v>
      </c>
      <c r="K30">
        <f>IF(AtoutsHandicapsMatos!$C$14=A30,1,0)</f>
        <v>0</v>
      </c>
      <c r="L30">
        <f>IF('Perso Reloaded'!$L$20=A30,1,0)</f>
        <v>0</v>
      </c>
      <c r="M30">
        <f>IF('Perso Reloaded'!$L$21=A30,1,0)</f>
        <v>0</v>
      </c>
      <c r="N30">
        <f>IF('Perso Reloaded'!$L$22=A30,1,0)</f>
        <v>0</v>
      </c>
      <c r="O30">
        <f>IF('Perso Reloaded'!$L$23=A30,1,0)</f>
        <v>0</v>
      </c>
      <c r="P30">
        <f>IF('Perso Reloaded'!$L$24=A30,1,0)</f>
        <v>0</v>
      </c>
      <c r="Q30">
        <f>IF('Perso Reloaded'!$L$25=A30,1,0)</f>
        <v>0</v>
      </c>
      <c r="R30">
        <f>IF('Perso Reloaded'!$L$26=A30,1,0)</f>
        <v>0</v>
      </c>
      <c r="S30">
        <f>IF('Perso Reloaded'!$L$27=A30,1,0)</f>
        <v>0</v>
      </c>
      <c r="T30">
        <f t="shared" si="0"/>
        <v>0</v>
      </c>
      <c r="U30" t="b">
        <f t="shared" si="1"/>
        <v>0</v>
      </c>
    </row>
    <row r="31" spans="1:26" x14ac:dyDescent="0.3">
      <c r="A31" s="65" t="s">
        <v>4733</v>
      </c>
      <c r="B31">
        <f>IF(AtoutsHandicapsMatos!$C$5=A31,1,0)</f>
        <v>0</v>
      </c>
      <c r="C31">
        <f>IF(AtoutsHandicapsMatos!$C$6=A31,1,0)</f>
        <v>0</v>
      </c>
      <c r="D31">
        <f>IF(AtoutsHandicapsMatos!$C$7=A31,1,0)</f>
        <v>0</v>
      </c>
      <c r="E31">
        <f>IF(AtoutsHandicapsMatos!$C$8=A31,1,0)</f>
        <v>0</v>
      </c>
      <c r="F31">
        <f>IF(AtoutsHandicapsMatos!$C$9=A31,1,0)</f>
        <v>0</v>
      </c>
      <c r="G31">
        <f>IF(AtoutsHandicapsMatos!$C$10=A31,1,0)</f>
        <v>0</v>
      </c>
      <c r="H31">
        <f>IF(AtoutsHandicapsMatos!$C$11=A31,1,0)</f>
        <v>0</v>
      </c>
      <c r="I31">
        <f>IF(AtoutsHandicapsMatos!$C$12=A31,1,0)</f>
        <v>0</v>
      </c>
      <c r="J31">
        <f>IF(AtoutsHandicapsMatos!$C$13=A31,1,0)</f>
        <v>0</v>
      </c>
      <c r="K31">
        <f>IF(AtoutsHandicapsMatos!$C$14=A31,1,0)</f>
        <v>0</v>
      </c>
      <c r="L31">
        <f>IF('Perso Reloaded'!$L$20=A31,1,0)</f>
        <v>0</v>
      </c>
      <c r="M31">
        <f>IF('Perso Reloaded'!$L$21=A31,1,0)</f>
        <v>0</v>
      </c>
      <c r="N31">
        <f>IF('Perso Reloaded'!$L$22=A31,1,0)</f>
        <v>0</v>
      </c>
      <c r="O31">
        <f>IF('Perso Reloaded'!$L$23=A31,1,0)</f>
        <v>0</v>
      </c>
      <c r="P31">
        <f>IF('Perso Reloaded'!$L$24=A31,1,0)</f>
        <v>0</v>
      </c>
      <c r="Q31">
        <f>IF('Perso Reloaded'!$L$25=A31,1,0)</f>
        <v>0</v>
      </c>
      <c r="R31">
        <f>IF('Perso Reloaded'!$L$26=A31,1,0)</f>
        <v>0</v>
      </c>
      <c r="S31">
        <f>IF('Perso Reloaded'!$L$27=A31,1,0)</f>
        <v>0</v>
      </c>
      <c r="T31">
        <f t="shared" si="0"/>
        <v>0</v>
      </c>
      <c r="U31" t="b">
        <f t="shared" si="1"/>
        <v>0</v>
      </c>
    </row>
    <row r="32" spans="1:26" x14ac:dyDescent="0.3">
      <c r="A32" s="65" t="s">
        <v>4715</v>
      </c>
      <c r="B32">
        <f>IF(AtoutsHandicapsMatos!$C$5=A32,1,0)</f>
        <v>0</v>
      </c>
      <c r="C32">
        <f>IF(AtoutsHandicapsMatos!$C$6=A32,1,0)</f>
        <v>0</v>
      </c>
      <c r="D32">
        <f>IF(AtoutsHandicapsMatos!$C$7=A32,1,0)</f>
        <v>0</v>
      </c>
      <c r="E32">
        <f>IF(AtoutsHandicapsMatos!$C$8=A32,1,0)</f>
        <v>0</v>
      </c>
      <c r="F32">
        <f>IF(AtoutsHandicapsMatos!$C$9=A32,1,0)</f>
        <v>0</v>
      </c>
      <c r="G32">
        <f>IF(AtoutsHandicapsMatos!$C$10=A32,1,0)</f>
        <v>0</v>
      </c>
      <c r="H32">
        <f>IF(AtoutsHandicapsMatos!$C$11=A32,1,0)</f>
        <v>0</v>
      </c>
      <c r="I32">
        <f>IF(AtoutsHandicapsMatos!$C$12=A32,1,0)</f>
        <v>0</v>
      </c>
      <c r="J32">
        <f>IF(AtoutsHandicapsMatos!$C$13=A32,1,0)</f>
        <v>0</v>
      </c>
      <c r="K32">
        <f>IF(AtoutsHandicapsMatos!$C$14=A32,1,0)</f>
        <v>0</v>
      </c>
      <c r="L32">
        <f>IF('Perso Reloaded'!$L$20=A32,1,0)</f>
        <v>0</v>
      </c>
      <c r="M32">
        <f>IF('Perso Reloaded'!$L$21=A32,1,0)</f>
        <v>0</v>
      </c>
      <c r="N32">
        <f>IF('Perso Reloaded'!$L$22=A32,1,0)</f>
        <v>0</v>
      </c>
      <c r="O32">
        <f>IF('Perso Reloaded'!$L$23=A32,1,0)</f>
        <v>0</v>
      </c>
      <c r="P32">
        <f>IF('Perso Reloaded'!$L$24=A32,1,0)</f>
        <v>0</v>
      </c>
      <c r="Q32">
        <f>IF('Perso Reloaded'!$L$25=A32,1,0)</f>
        <v>0</v>
      </c>
      <c r="R32">
        <f>IF('Perso Reloaded'!$L$26=A32,1,0)</f>
        <v>0</v>
      </c>
      <c r="S32">
        <f>IF('Perso Reloaded'!$L$27=A32,1,0)</f>
        <v>0</v>
      </c>
      <c r="T32">
        <f t="shared" si="0"/>
        <v>0</v>
      </c>
      <c r="U32" t="b">
        <f t="shared" si="1"/>
        <v>0</v>
      </c>
    </row>
    <row r="33" spans="1:21" x14ac:dyDescent="0.3">
      <c r="A33" s="65" t="str">
        <f>IF(SexePerso="Féminin","Aux Aguets/Vigilante",IF('Perso Reloaded'!$C$6="Féminin","Aux Aguets/Vigilante","Aux Aguets/Vigilant"))</f>
        <v>Aux Aguets/Vigilant</v>
      </c>
      <c r="B33">
        <f>IF(AtoutsHandicapsMatos!$C$5=A33,1,0)</f>
        <v>0</v>
      </c>
      <c r="C33">
        <f>IF(AtoutsHandicapsMatos!$C$6=A33,1,0)</f>
        <v>0</v>
      </c>
      <c r="D33">
        <f>IF(AtoutsHandicapsMatos!$C$7=A33,1,0)</f>
        <v>0</v>
      </c>
      <c r="E33">
        <f>IF(AtoutsHandicapsMatos!$C$8=A33,1,0)</f>
        <v>0</v>
      </c>
      <c r="F33">
        <f>IF(AtoutsHandicapsMatos!$C$9=A33,1,0)</f>
        <v>0</v>
      </c>
      <c r="G33">
        <f>IF(AtoutsHandicapsMatos!$C$10=A33,1,0)</f>
        <v>0</v>
      </c>
      <c r="H33">
        <f>IF(AtoutsHandicapsMatos!$C$11=A33,1,0)</f>
        <v>0</v>
      </c>
      <c r="I33">
        <f>IF(AtoutsHandicapsMatos!$C$12=A33,1,0)</f>
        <v>0</v>
      </c>
      <c r="J33">
        <f>IF(AtoutsHandicapsMatos!$C$13=A33,1,0)</f>
        <v>0</v>
      </c>
      <c r="K33">
        <f>IF(AtoutsHandicapsMatos!$C$14=A33,1,0)</f>
        <v>0</v>
      </c>
      <c r="L33">
        <f>IF('Perso Reloaded'!$L$20=A33,1,0)</f>
        <v>0</v>
      </c>
      <c r="M33">
        <f>IF('Perso Reloaded'!$L$21=A33,1,0)</f>
        <v>0</v>
      </c>
      <c r="N33">
        <f>IF('Perso Reloaded'!$L$22=A33,1,0)</f>
        <v>0</v>
      </c>
      <c r="O33">
        <f>IF('Perso Reloaded'!$L$23=A33,1,0)</f>
        <v>0</v>
      </c>
      <c r="P33">
        <f>IF('Perso Reloaded'!$L$24=A33,1,0)</f>
        <v>0</v>
      </c>
      <c r="Q33">
        <f>IF('Perso Reloaded'!$L$25=A33,1,0)</f>
        <v>0</v>
      </c>
      <c r="R33">
        <f>IF('Perso Reloaded'!$L$26=A33,1,0)</f>
        <v>0</v>
      </c>
      <c r="S33">
        <f>IF('Perso Reloaded'!$L$27=A33,1,0)</f>
        <v>0</v>
      </c>
      <c r="T33">
        <f t="shared" si="0"/>
        <v>0</v>
      </c>
      <c r="U33" t="b">
        <f t="shared" si="1"/>
        <v>0</v>
      </c>
    </row>
    <row r="34" spans="1:21" x14ac:dyDescent="0.3">
      <c r="A34" s="65" t="s">
        <v>3209</v>
      </c>
      <c r="B34">
        <f>IF(AtoutsHandicapsMatos!$C$5=A34,1,0)</f>
        <v>0</v>
      </c>
      <c r="C34">
        <f>IF(AtoutsHandicapsMatos!$C$6=A34,1,0)</f>
        <v>0</v>
      </c>
      <c r="D34">
        <f>IF(AtoutsHandicapsMatos!$C$7=A34,1,0)</f>
        <v>0</v>
      </c>
      <c r="E34">
        <f>IF(AtoutsHandicapsMatos!$C$8=A34,1,0)</f>
        <v>0</v>
      </c>
      <c r="F34">
        <f>IF(AtoutsHandicapsMatos!$C$9=A34,1,0)</f>
        <v>0</v>
      </c>
      <c r="G34">
        <f>IF(AtoutsHandicapsMatos!$C$10=A34,1,0)</f>
        <v>0</v>
      </c>
      <c r="H34">
        <f>IF(AtoutsHandicapsMatos!$C$11=A34,1,0)</f>
        <v>0</v>
      </c>
      <c r="I34">
        <f>IF(AtoutsHandicapsMatos!$C$12=A34,1,0)</f>
        <v>0</v>
      </c>
      <c r="J34">
        <f>IF(AtoutsHandicapsMatos!$C$13=A34,1,0)</f>
        <v>0</v>
      </c>
      <c r="K34">
        <f>IF(AtoutsHandicapsMatos!$C$14=A34,1,0)</f>
        <v>0</v>
      </c>
      <c r="L34">
        <f>IF('Perso Reloaded'!$L$20=A34,1,0)</f>
        <v>0</v>
      </c>
      <c r="M34">
        <f>IF('Perso Reloaded'!$L$21=A34,1,0)</f>
        <v>0</v>
      </c>
      <c r="N34">
        <f>IF('Perso Reloaded'!$L$22=A34,1,0)</f>
        <v>0</v>
      </c>
      <c r="O34">
        <f>IF('Perso Reloaded'!$L$23=A34,1,0)</f>
        <v>0</v>
      </c>
      <c r="P34">
        <f>IF('Perso Reloaded'!$L$24=A34,1,0)</f>
        <v>0</v>
      </c>
      <c r="Q34">
        <f>IF('Perso Reloaded'!$L$25=A34,1,0)</f>
        <v>0</v>
      </c>
      <c r="R34">
        <f>IF('Perso Reloaded'!$L$26=A34,1,0)</f>
        <v>0</v>
      </c>
      <c r="S34">
        <f>IF('Perso Reloaded'!$L$27=A34,1,0)</f>
        <v>0</v>
      </c>
      <c r="T34">
        <f t="shared" si="0"/>
        <v>0</v>
      </c>
      <c r="U34" t="b">
        <f t="shared" si="1"/>
        <v>0</v>
      </c>
    </row>
    <row r="35" spans="1:21" x14ac:dyDescent="0.3">
      <c r="A35" s="65" t="s">
        <v>3210</v>
      </c>
      <c r="B35">
        <f>IF(AtoutsHandicapsMatos!$C$5=A35,1,0)</f>
        <v>0</v>
      </c>
      <c r="C35">
        <f>IF(AtoutsHandicapsMatos!$C$6=A35,1,0)</f>
        <v>0</v>
      </c>
      <c r="D35">
        <f>IF(AtoutsHandicapsMatos!$C$7=A35,1,0)</f>
        <v>0</v>
      </c>
      <c r="E35">
        <f>IF(AtoutsHandicapsMatos!$C$8=A35,1,0)</f>
        <v>0</v>
      </c>
      <c r="F35">
        <f>IF(AtoutsHandicapsMatos!$C$9=A35,1,0)</f>
        <v>0</v>
      </c>
      <c r="G35">
        <f>IF(AtoutsHandicapsMatos!$C$10=A35,1,0)</f>
        <v>0</v>
      </c>
      <c r="H35">
        <f>IF(AtoutsHandicapsMatos!$C$11=A35,1,0)</f>
        <v>0</v>
      </c>
      <c r="I35">
        <f>IF(AtoutsHandicapsMatos!$C$12=A35,1,0)</f>
        <v>0</v>
      </c>
      <c r="J35">
        <f>IF(AtoutsHandicapsMatos!$C$13=A35,1,0)</f>
        <v>0</v>
      </c>
      <c r="K35">
        <f>IF(AtoutsHandicapsMatos!$C$14=A35,1,0)</f>
        <v>0</v>
      </c>
      <c r="L35">
        <f>IF('Perso Reloaded'!$L$20=A35,1,0)</f>
        <v>0</v>
      </c>
      <c r="M35">
        <f>IF('Perso Reloaded'!$L$21=A35,1,0)</f>
        <v>0</v>
      </c>
      <c r="N35">
        <f>IF('Perso Reloaded'!$L$22=A35,1,0)</f>
        <v>0</v>
      </c>
      <c r="O35">
        <f>IF('Perso Reloaded'!$L$23=A35,1,0)</f>
        <v>0</v>
      </c>
      <c r="P35">
        <f>IF('Perso Reloaded'!$L$24=A35,1,0)</f>
        <v>0</v>
      </c>
      <c r="Q35">
        <f>IF('Perso Reloaded'!$L$25=A35,1,0)</f>
        <v>0</v>
      </c>
      <c r="R35">
        <f>IF('Perso Reloaded'!$L$26=A35,1,0)</f>
        <v>0</v>
      </c>
      <c r="S35">
        <f>IF('Perso Reloaded'!$L$27=A35,1,0)</f>
        <v>0</v>
      </c>
      <c r="T35">
        <f t="shared" si="0"/>
        <v>0</v>
      </c>
      <c r="U35" t="b">
        <f t="shared" si="1"/>
        <v>0</v>
      </c>
    </row>
    <row r="36" spans="1:21" x14ac:dyDescent="0.3">
      <c r="A36" s="65" t="str">
        <f>IF(SexePerso="Féminin","Armurière",IF('Perso Reloaded'!$C$6="Féminin","Armurière","Armurier"))</f>
        <v>Armurier</v>
      </c>
      <c r="B36">
        <f>IF(AtoutsHandicapsMatos!$C$5=A36,1,0)</f>
        <v>0</v>
      </c>
      <c r="C36">
        <f>IF(AtoutsHandicapsMatos!$C$6=A36,1,0)</f>
        <v>0</v>
      </c>
      <c r="D36">
        <f>IF(AtoutsHandicapsMatos!$C$7=A36,1,0)</f>
        <v>0</v>
      </c>
      <c r="E36">
        <f>IF(AtoutsHandicapsMatos!$C$8=A36,1,0)</f>
        <v>0</v>
      </c>
      <c r="F36">
        <f>IF(AtoutsHandicapsMatos!$C$9=A36,1,0)</f>
        <v>0</v>
      </c>
      <c r="G36">
        <f>IF(AtoutsHandicapsMatos!$C$10=A36,1,0)</f>
        <v>0</v>
      </c>
      <c r="H36">
        <f>IF(AtoutsHandicapsMatos!$C$11=A36,1,0)</f>
        <v>0</v>
      </c>
      <c r="I36">
        <f>IF(AtoutsHandicapsMatos!$C$12=A36,1,0)</f>
        <v>0</v>
      </c>
      <c r="J36">
        <f>IF(AtoutsHandicapsMatos!$C$13=A36,1,0)</f>
        <v>0</v>
      </c>
      <c r="K36">
        <f>IF(AtoutsHandicapsMatos!$C$14=A36,1,0)</f>
        <v>0</v>
      </c>
      <c r="L36">
        <f>IF('Perso Reloaded'!$L$20=A36,1,0)</f>
        <v>0</v>
      </c>
      <c r="M36">
        <f>IF('Perso Reloaded'!$L$21=A36,1,0)</f>
        <v>0</v>
      </c>
      <c r="N36">
        <f>IF('Perso Reloaded'!$L$22=A36,1,0)</f>
        <v>0</v>
      </c>
      <c r="O36">
        <f>IF('Perso Reloaded'!$L$23=A36,1,0)</f>
        <v>0</v>
      </c>
      <c r="P36">
        <f>IF('Perso Reloaded'!$L$24=A36,1,0)</f>
        <v>0</v>
      </c>
      <c r="Q36">
        <f>IF('Perso Reloaded'!$L$25=A36,1,0)</f>
        <v>0</v>
      </c>
      <c r="R36">
        <f>IF('Perso Reloaded'!$L$26=A36,1,0)</f>
        <v>0</v>
      </c>
      <c r="S36">
        <f>IF('Perso Reloaded'!$L$27=A36,1,0)</f>
        <v>0</v>
      </c>
      <c r="T36">
        <f t="shared" si="0"/>
        <v>0</v>
      </c>
      <c r="U36" t="b">
        <f t="shared" si="1"/>
        <v>0</v>
      </c>
    </row>
    <row r="37" spans="1:21" x14ac:dyDescent="0.3">
      <c r="A37" s="65" t="s">
        <v>953</v>
      </c>
      <c r="B37">
        <f>IF(AtoutsHandicapsMatos!$C$5=A37,1,0)</f>
        <v>0</v>
      </c>
      <c r="C37">
        <f>IF(AtoutsHandicapsMatos!$C$6=A37,1,0)</f>
        <v>0</v>
      </c>
      <c r="D37">
        <f>IF(AtoutsHandicapsMatos!$C$7=A37,1,0)</f>
        <v>0</v>
      </c>
      <c r="E37">
        <f>IF(AtoutsHandicapsMatos!$C$8=A37,1,0)</f>
        <v>0</v>
      </c>
      <c r="F37">
        <f>IF(AtoutsHandicapsMatos!$C$9=A37,1,0)</f>
        <v>0</v>
      </c>
      <c r="G37">
        <f>IF(AtoutsHandicapsMatos!$C$10=A37,1,0)</f>
        <v>0</v>
      </c>
      <c r="H37">
        <f>IF(AtoutsHandicapsMatos!$C$11=A37,1,0)</f>
        <v>0</v>
      </c>
      <c r="I37">
        <f>IF(AtoutsHandicapsMatos!$C$12=A37,1,0)</f>
        <v>0</v>
      </c>
      <c r="J37">
        <f>IF(AtoutsHandicapsMatos!$C$13=A37,1,0)</f>
        <v>0</v>
      </c>
      <c r="K37">
        <f>IF(AtoutsHandicapsMatos!$C$14=A37,1,0)</f>
        <v>0</v>
      </c>
      <c r="L37">
        <f>IF('Perso Reloaded'!$L$20=A37,1,0)</f>
        <v>0</v>
      </c>
      <c r="M37">
        <f>IF('Perso Reloaded'!$L$21=A37,1,0)</f>
        <v>0</v>
      </c>
      <c r="N37">
        <f>IF('Perso Reloaded'!$L$22=A37,1,0)</f>
        <v>0</v>
      </c>
      <c r="O37">
        <f>IF('Perso Reloaded'!$L$23=A37,1,0)</f>
        <v>0</v>
      </c>
      <c r="P37">
        <f>IF('Perso Reloaded'!$L$24=A37,1,0)</f>
        <v>0</v>
      </c>
      <c r="Q37">
        <f>IF('Perso Reloaded'!$L$25=A37,1,0)</f>
        <v>0</v>
      </c>
      <c r="R37">
        <f>IF('Perso Reloaded'!$L$26=A37,1,0)</f>
        <v>0</v>
      </c>
      <c r="S37">
        <f>IF('Perso Reloaded'!$L$27=A37,1,0)</f>
        <v>0</v>
      </c>
      <c r="T37">
        <f t="shared" si="0"/>
        <v>0</v>
      </c>
      <c r="U37" t="b">
        <f t="shared" si="1"/>
        <v>0</v>
      </c>
    </row>
    <row r="38" spans="1:21" x14ac:dyDescent="0.3">
      <c r="A38" s="65" t="s">
        <v>3442</v>
      </c>
      <c r="B38">
        <f>IF(AtoutsHandicapsMatos!$C$5=A38,1,0)</f>
        <v>0</v>
      </c>
      <c r="C38">
        <f>IF(AtoutsHandicapsMatos!$C$6=A38,1,0)</f>
        <v>0</v>
      </c>
      <c r="D38">
        <f>IF(AtoutsHandicapsMatos!$C$7=A38,1,0)</f>
        <v>0</v>
      </c>
      <c r="E38">
        <f>IF(AtoutsHandicapsMatos!$C$8=A38,1,0)</f>
        <v>0</v>
      </c>
      <c r="F38">
        <f>IF(AtoutsHandicapsMatos!$C$9=A38,1,0)</f>
        <v>0</v>
      </c>
      <c r="G38">
        <f>IF(AtoutsHandicapsMatos!$C$10=A38,1,0)</f>
        <v>0</v>
      </c>
      <c r="H38">
        <f>IF(AtoutsHandicapsMatos!$C$11=A38,1,0)</f>
        <v>0</v>
      </c>
      <c r="I38">
        <f>IF(AtoutsHandicapsMatos!$C$12=A38,1,0)</f>
        <v>0</v>
      </c>
      <c r="J38">
        <f>IF(AtoutsHandicapsMatos!$C$13=A38,1,0)</f>
        <v>0</v>
      </c>
      <c r="K38">
        <f>IF(AtoutsHandicapsMatos!$C$14=A38,1,0)</f>
        <v>0</v>
      </c>
      <c r="L38">
        <f>IF('Perso Reloaded'!$L$20=A38,1,0)</f>
        <v>0</v>
      </c>
      <c r="M38">
        <f>IF('Perso Reloaded'!$L$21=A38,1,0)</f>
        <v>0</v>
      </c>
      <c r="N38">
        <f>IF('Perso Reloaded'!$L$22=A38,1,0)</f>
        <v>0</v>
      </c>
      <c r="O38">
        <f>IF('Perso Reloaded'!$L$23=A38,1,0)</f>
        <v>0</v>
      </c>
      <c r="P38">
        <f>IF('Perso Reloaded'!$L$24=A38,1,0)</f>
        <v>0</v>
      </c>
      <c r="Q38">
        <f>IF('Perso Reloaded'!$L$25=A38,1,0)</f>
        <v>0</v>
      </c>
      <c r="R38">
        <f>IF('Perso Reloaded'!$L$26=A38,1,0)</f>
        <v>0</v>
      </c>
      <c r="S38">
        <f>IF('Perso Reloaded'!$L$27=A38,1,0)</f>
        <v>0</v>
      </c>
      <c r="T38">
        <f t="shared" si="0"/>
        <v>0</v>
      </c>
      <c r="U38" t="b">
        <f t="shared" si="1"/>
        <v>0</v>
      </c>
    </row>
    <row r="39" spans="1:21" x14ac:dyDescent="0.3">
      <c r="A39" s="65" t="s">
        <v>1374</v>
      </c>
      <c r="B39">
        <f>IF(AtoutsHandicapsMatos!$C$5=A39,1,0)</f>
        <v>0</v>
      </c>
      <c r="C39">
        <f>IF(AtoutsHandicapsMatos!$C$6=A39,1,0)</f>
        <v>0</v>
      </c>
      <c r="D39">
        <f>IF(AtoutsHandicapsMatos!$C$7=A39,1,0)</f>
        <v>0</v>
      </c>
      <c r="E39">
        <f>IF(AtoutsHandicapsMatos!$C$8=A39,1,0)</f>
        <v>0</v>
      </c>
      <c r="F39">
        <f>IF(AtoutsHandicapsMatos!$C$9=A39,1,0)</f>
        <v>0</v>
      </c>
      <c r="G39">
        <f>IF(AtoutsHandicapsMatos!$C$10=A39,1,0)</f>
        <v>0</v>
      </c>
      <c r="H39">
        <f>IF(AtoutsHandicapsMatos!$C$11=A39,1,0)</f>
        <v>0</v>
      </c>
      <c r="I39">
        <f>IF(AtoutsHandicapsMatos!$C$12=A39,1,0)</f>
        <v>0</v>
      </c>
      <c r="J39">
        <f>IF(AtoutsHandicapsMatos!$C$13=A39,1,0)</f>
        <v>0</v>
      </c>
      <c r="K39">
        <f>IF(AtoutsHandicapsMatos!$C$14=A39,1,0)</f>
        <v>0</v>
      </c>
      <c r="L39">
        <f>IF('Perso Reloaded'!$L$20=A39,1,0)</f>
        <v>0</v>
      </c>
      <c r="M39">
        <f>IF('Perso Reloaded'!$L$21=A39,1,0)</f>
        <v>0</v>
      </c>
      <c r="N39">
        <f>IF('Perso Reloaded'!$L$22=A39,1,0)</f>
        <v>0</v>
      </c>
      <c r="O39">
        <f>IF('Perso Reloaded'!$L$23=A39,1,0)</f>
        <v>0</v>
      </c>
      <c r="P39">
        <f>IF('Perso Reloaded'!$L$24=A39,1,0)</f>
        <v>0</v>
      </c>
      <c r="Q39">
        <f>IF('Perso Reloaded'!$L$25=A39,1,0)</f>
        <v>0</v>
      </c>
      <c r="R39">
        <f>IF('Perso Reloaded'!$L$26=A39,1,0)</f>
        <v>0</v>
      </c>
      <c r="S39">
        <f>IF('Perso Reloaded'!$L$27=A39,1,0)</f>
        <v>0</v>
      </c>
      <c r="T39">
        <f t="shared" si="0"/>
        <v>0</v>
      </c>
      <c r="U39" t="b">
        <f t="shared" si="1"/>
        <v>0</v>
      </c>
    </row>
    <row r="40" spans="1:21" x14ac:dyDescent="0.3">
      <c r="A40" s="65" t="s">
        <v>1375</v>
      </c>
      <c r="B40">
        <f>IF(AtoutsHandicapsMatos!$C$5=A40,1,0)</f>
        <v>0</v>
      </c>
      <c r="C40">
        <f>IF(AtoutsHandicapsMatos!$C$6=A40,1,0)</f>
        <v>0</v>
      </c>
      <c r="D40">
        <f>IF(AtoutsHandicapsMatos!$C$7=A40,1,0)</f>
        <v>0</v>
      </c>
      <c r="E40">
        <f>IF(AtoutsHandicapsMatos!$C$8=A40,1,0)</f>
        <v>0</v>
      </c>
      <c r="F40">
        <f>IF(AtoutsHandicapsMatos!$C$9=A40,1,0)</f>
        <v>0</v>
      </c>
      <c r="G40">
        <f>IF(AtoutsHandicapsMatos!$C$10=A40,1,0)</f>
        <v>0</v>
      </c>
      <c r="H40">
        <f>IF(AtoutsHandicapsMatos!$C$11=A40,1,0)</f>
        <v>0</v>
      </c>
      <c r="I40">
        <f>IF(AtoutsHandicapsMatos!$C$12=A40,1,0)</f>
        <v>0</v>
      </c>
      <c r="J40">
        <f>IF(AtoutsHandicapsMatos!$C$13=A40,1,0)</f>
        <v>0</v>
      </c>
      <c r="K40">
        <f>IF(AtoutsHandicapsMatos!$C$14=A40,1,0)</f>
        <v>0</v>
      </c>
      <c r="L40">
        <f>IF('Perso Reloaded'!$L$20=A40,1,0)</f>
        <v>0</v>
      </c>
      <c r="M40">
        <f>IF('Perso Reloaded'!$L$21=A40,1,0)</f>
        <v>0</v>
      </c>
      <c r="N40">
        <f>IF('Perso Reloaded'!$L$22=A40,1,0)</f>
        <v>0</v>
      </c>
      <c r="O40">
        <f>IF('Perso Reloaded'!$L$23=A40,1,0)</f>
        <v>0</v>
      </c>
      <c r="P40">
        <f>IF('Perso Reloaded'!$L$24=A40,1,0)</f>
        <v>0</v>
      </c>
      <c r="Q40">
        <f>IF('Perso Reloaded'!$L$25=A40,1,0)</f>
        <v>0</v>
      </c>
      <c r="R40">
        <f>IF('Perso Reloaded'!$L$26=A40,1,0)</f>
        <v>0</v>
      </c>
      <c r="S40">
        <f>IF('Perso Reloaded'!$L$27=A40,1,0)</f>
        <v>0</v>
      </c>
      <c r="T40">
        <f t="shared" si="0"/>
        <v>0</v>
      </c>
      <c r="U40" t="b">
        <f t="shared" si="1"/>
        <v>0</v>
      </c>
    </row>
    <row r="41" spans="1:21" x14ac:dyDescent="0.3">
      <c r="A41" s="65" t="s">
        <v>1376</v>
      </c>
      <c r="B41">
        <f>IF(AtoutsHandicapsMatos!$C$5=A41,1,0)</f>
        <v>0</v>
      </c>
      <c r="C41">
        <f>IF(AtoutsHandicapsMatos!$C$6=A41,1,0)</f>
        <v>0</v>
      </c>
      <c r="D41">
        <f>IF(AtoutsHandicapsMatos!$C$7=A41,1,0)</f>
        <v>0</v>
      </c>
      <c r="E41">
        <f>IF(AtoutsHandicapsMatos!$C$8=A41,1,0)</f>
        <v>0</v>
      </c>
      <c r="F41">
        <f>IF(AtoutsHandicapsMatos!$C$9=A41,1,0)</f>
        <v>0</v>
      </c>
      <c r="G41">
        <f>IF(AtoutsHandicapsMatos!$C$10=A41,1,0)</f>
        <v>0</v>
      </c>
      <c r="H41">
        <f>IF(AtoutsHandicapsMatos!$C$11=A41,1,0)</f>
        <v>0</v>
      </c>
      <c r="I41">
        <f>IF(AtoutsHandicapsMatos!$C$12=A41,1,0)</f>
        <v>0</v>
      </c>
      <c r="J41">
        <f>IF(AtoutsHandicapsMatos!$C$13=A41,1,0)</f>
        <v>0</v>
      </c>
      <c r="K41">
        <f>IF(AtoutsHandicapsMatos!$C$14=A41,1,0)</f>
        <v>0</v>
      </c>
      <c r="L41">
        <f>IF('Perso Reloaded'!$L$20=A41,1,0)</f>
        <v>0</v>
      </c>
      <c r="M41">
        <f>IF('Perso Reloaded'!$L$21=A41,1,0)</f>
        <v>0</v>
      </c>
      <c r="N41">
        <f>IF('Perso Reloaded'!$L$22=A41,1,0)</f>
        <v>0</v>
      </c>
      <c r="O41">
        <f>IF('Perso Reloaded'!$L$23=A41,1,0)</f>
        <v>0</v>
      </c>
      <c r="P41">
        <f>IF('Perso Reloaded'!$L$24=A41,1,0)</f>
        <v>0</v>
      </c>
      <c r="Q41">
        <f>IF('Perso Reloaded'!$L$25=A41,1,0)</f>
        <v>0</v>
      </c>
      <c r="R41">
        <f>IF('Perso Reloaded'!$L$26=A41,1,0)</f>
        <v>0</v>
      </c>
      <c r="S41">
        <f>IF('Perso Reloaded'!$L$27=A41,1,0)</f>
        <v>0</v>
      </c>
      <c r="T41">
        <f t="shared" si="0"/>
        <v>0</v>
      </c>
      <c r="U41" t="b">
        <f t="shared" si="1"/>
        <v>0</v>
      </c>
    </row>
    <row r="42" spans="1:21" x14ac:dyDescent="0.3">
      <c r="A42" s="65" t="s">
        <v>1377</v>
      </c>
      <c r="B42">
        <f>IF(AtoutsHandicapsMatos!$C$5=A42,1,0)</f>
        <v>0</v>
      </c>
      <c r="C42">
        <f>IF(AtoutsHandicapsMatos!$C$6=A42,1,0)</f>
        <v>0</v>
      </c>
      <c r="D42">
        <f>IF(AtoutsHandicapsMatos!$C$7=A42,1,0)</f>
        <v>0</v>
      </c>
      <c r="E42">
        <f>IF(AtoutsHandicapsMatos!$C$8=A42,1,0)</f>
        <v>0</v>
      </c>
      <c r="F42">
        <f>IF(AtoutsHandicapsMatos!$C$9=A42,1,0)</f>
        <v>0</v>
      </c>
      <c r="G42">
        <f>IF(AtoutsHandicapsMatos!$C$10=A42,1,0)</f>
        <v>0</v>
      </c>
      <c r="H42">
        <f>IF(AtoutsHandicapsMatos!$C$11=A42,1,0)</f>
        <v>0</v>
      </c>
      <c r="I42">
        <f>IF(AtoutsHandicapsMatos!$C$12=A42,1,0)</f>
        <v>0</v>
      </c>
      <c r="J42">
        <f>IF(AtoutsHandicapsMatos!$C$13=A42,1,0)</f>
        <v>0</v>
      </c>
      <c r="K42">
        <f>IF(AtoutsHandicapsMatos!$C$14=A42,1,0)</f>
        <v>0</v>
      </c>
      <c r="L42">
        <f>IF('Perso Reloaded'!$L$20=A42,1,0)</f>
        <v>0</v>
      </c>
      <c r="M42">
        <f>IF('Perso Reloaded'!$L$21=A42,1,0)</f>
        <v>0</v>
      </c>
      <c r="N42">
        <f>IF('Perso Reloaded'!$L$22=A42,1,0)</f>
        <v>0</v>
      </c>
      <c r="O42">
        <f>IF('Perso Reloaded'!$L$23=A42,1,0)</f>
        <v>0</v>
      </c>
      <c r="P42">
        <f>IF('Perso Reloaded'!$L$24=A42,1,0)</f>
        <v>0</v>
      </c>
      <c r="Q42">
        <f>IF('Perso Reloaded'!$L$25=A42,1,0)</f>
        <v>0</v>
      </c>
      <c r="R42">
        <f>IF('Perso Reloaded'!$L$26=A42,1,0)</f>
        <v>0</v>
      </c>
      <c r="S42">
        <f>IF('Perso Reloaded'!$L$27=A42,1,0)</f>
        <v>0</v>
      </c>
      <c r="T42">
        <f t="shared" si="0"/>
        <v>0</v>
      </c>
      <c r="U42" t="b">
        <f t="shared" si="1"/>
        <v>0</v>
      </c>
    </row>
    <row r="43" spans="1:21" x14ac:dyDescent="0.3">
      <c r="A43" s="65" t="s">
        <v>1378</v>
      </c>
      <c r="B43">
        <f>IF(AtoutsHandicapsMatos!$C$5=A43,1,0)</f>
        <v>0</v>
      </c>
      <c r="C43">
        <f>IF(AtoutsHandicapsMatos!$C$6=A43,1,0)</f>
        <v>0</v>
      </c>
      <c r="D43">
        <f>IF(AtoutsHandicapsMatos!$C$7=A43,1,0)</f>
        <v>0</v>
      </c>
      <c r="E43">
        <f>IF(AtoutsHandicapsMatos!$C$8=A43,1,0)</f>
        <v>0</v>
      </c>
      <c r="F43">
        <f>IF(AtoutsHandicapsMatos!$C$9=A43,1,0)</f>
        <v>0</v>
      </c>
      <c r="G43">
        <f>IF(AtoutsHandicapsMatos!$C$10=A43,1,0)</f>
        <v>0</v>
      </c>
      <c r="H43">
        <f>IF(AtoutsHandicapsMatos!$C$11=A43,1,0)</f>
        <v>0</v>
      </c>
      <c r="I43">
        <f>IF(AtoutsHandicapsMatos!$C$12=A43,1,0)</f>
        <v>0</v>
      </c>
      <c r="J43">
        <f>IF(AtoutsHandicapsMatos!$C$13=A43,1,0)</f>
        <v>0</v>
      </c>
      <c r="K43">
        <f>IF(AtoutsHandicapsMatos!$C$14=A43,1,0)</f>
        <v>0</v>
      </c>
      <c r="L43">
        <f>IF('Perso Reloaded'!$L$20=A43,1,0)</f>
        <v>0</v>
      </c>
      <c r="M43">
        <f>IF('Perso Reloaded'!$L$21=A43,1,0)</f>
        <v>0</v>
      </c>
      <c r="N43">
        <f>IF('Perso Reloaded'!$L$22=A43,1,0)</f>
        <v>0</v>
      </c>
      <c r="O43">
        <f>IF('Perso Reloaded'!$L$23=A43,1,0)</f>
        <v>0</v>
      </c>
      <c r="P43">
        <f>IF('Perso Reloaded'!$L$24=A43,1,0)</f>
        <v>0</v>
      </c>
      <c r="Q43">
        <f>IF('Perso Reloaded'!$L$25=A43,1,0)</f>
        <v>0</v>
      </c>
      <c r="R43">
        <f>IF('Perso Reloaded'!$L$26=A43,1,0)</f>
        <v>0</v>
      </c>
      <c r="S43">
        <f>IF('Perso Reloaded'!$L$27=A43,1,0)</f>
        <v>0</v>
      </c>
      <c r="T43">
        <f t="shared" si="0"/>
        <v>0</v>
      </c>
      <c r="U43" t="b">
        <f t="shared" si="1"/>
        <v>0</v>
      </c>
    </row>
    <row r="44" spans="1:21" x14ac:dyDescent="0.3">
      <c r="A44" s="65" t="str">
        <f>IF(SexePerso="Féminin","Bagarreuse",IF('Perso Reloaded'!$C$6="Féminin","Bagarreuse","Bagarreur"))</f>
        <v>Bagarreur</v>
      </c>
      <c r="B44">
        <f>IF(AtoutsHandicapsMatos!$C$5=A44,1,0)</f>
        <v>0</v>
      </c>
      <c r="C44">
        <f>IF(AtoutsHandicapsMatos!$C$6=A44,1,0)</f>
        <v>0</v>
      </c>
      <c r="D44">
        <f>IF(AtoutsHandicapsMatos!$C$7=A44,1,0)</f>
        <v>0</v>
      </c>
      <c r="E44">
        <f>IF(AtoutsHandicapsMatos!$C$8=A44,1,0)</f>
        <v>0</v>
      </c>
      <c r="F44">
        <f>IF(AtoutsHandicapsMatos!$C$9=A44,1,0)</f>
        <v>0</v>
      </c>
      <c r="G44">
        <f>IF(AtoutsHandicapsMatos!$C$10=A44,1,0)</f>
        <v>0</v>
      </c>
      <c r="H44">
        <f>IF(AtoutsHandicapsMatos!$C$11=A44,1,0)</f>
        <v>0</v>
      </c>
      <c r="I44">
        <f>IF(AtoutsHandicapsMatos!$C$12=A44,1,0)</f>
        <v>0</v>
      </c>
      <c r="J44">
        <f>IF(AtoutsHandicapsMatos!$C$13=A44,1,0)</f>
        <v>0</v>
      </c>
      <c r="K44">
        <f>IF(AtoutsHandicapsMatos!$C$14=A44,1,0)</f>
        <v>0</v>
      </c>
      <c r="L44">
        <f>IF('Perso Reloaded'!$L$20=A44,1,0)</f>
        <v>0</v>
      </c>
      <c r="M44">
        <f>IF('Perso Reloaded'!$L$21=A44,1,0)</f>
        <v>0</v>
      </c>
      <c r="N44">
        <f>IF('Perso Reloaded'!$L$22=A44,1,0)</f>
        <v>0</v>
      </c>
      <c r="O44">
        <f>IF('Perso Reloaded'!$L$23=A44,1,0)</f>
        <v>0</v>
      </c>
      <c r="P44">
        <f>IF('Perso Reloaded'!$L$24=A44,1,0)</f>
        <v>0</v>
      </c>
      <c r="Q44">
        <f>IF('Perso Reloaded'!$L$25=A44,1,0)</f>
        <v>0</v>
      </c>
      <c r="R44">
        <f>IF('Perso Reloaded'!$L$26=A44,1,0)</f>
        <v>0</v>
      </c>
      <c r="S44">
        <f>IF('Perso Reloaded'!$L$27=A44,1,0)</f>
        <v>0</v>
      </c>
      <c r="T44">
        <f t="shared" si="0"/>
        <v>0</v>
      </c>
      <c r="U44" t="b">
        <f t="shared" si="1"/>
        <v>0</v>
      </c>
    </row>
    <row r="45" spans="1:21" x14ac:dyDescent="0.3">
      <c r="A45" s="65" t="str">
        <f>IF(SexePerso="Féminin","Bagarreuse  (Cogneuse)",IF('Perso Reloaded'!$C$6="Féminin","Bagarreuse (Cogneuse)","Bagarreur (Cogneur)"))</f>
        <v>Bagarreur (Cogneur)</v>
      </c>
      <c r="B45">
        <f>IF(AtoutsHandicapsMatos!$C$5=A45,1,0)</f>
        <v>0</v>
      </c>
      <c r="C45">
        <f>IF(AtoutsHandicapsMatos!$C$6=A45,1,0)</f>
        <v>0</v>
      </c>
      <c r="D45">
        <f>IF(AtoutsHandicapsMatos!$C$7=A45,1,0)</f>
        <v>0</v>
      </c>
      <c r="E45">
        <f>IF(AtoutsHandicapsMatos!$C$8=A45,1,0)</f>
        <v>0</v>
      </c>
      <c r="F45">
        <f>IF(AtoutsHandicapsMatos!$C$9=A45,1,0)</f>
        <v>0</v>
      </c>
      <c r="G45">
        <f>IF(AtoutsHandicapsMatos!$C$10=A45,1,0)</f>
        <v>0</v>
      </c>
      <c r="H45">
        <f>IF(AtoutsHandicapsMatos!$C$11=A45,1,0)</f>
        <v>0</v>
      </c>
      <c r="I45">
        <f>IF(AtoutsHandicapsMatos!$C$12=A45,1,0)</f>
        <v>0</v>
      </c>
      <c r="J45">
        <f>IF(AtoutsHandicapsMatos!$C$13=A45,1,0)</f>
        <v>0</v>
      </c>
      <c r="K45">
        <f>IF(AtoutsHandicapsMatos!$C$14=A45,1,0)</f>
        <v>0</v>
      </c>
      <c r="L45">
        <f>IF('Perso Reloaded'!$L$20=A45,1,0)</f>
        <v>0</v>
      </c>
      <c r="M45">
        <f>IF('Perso Reloaded'!$L$21=A45,1,0)</f>
        <v>0</v>
      </c>
      <c r="N45">
        <f>IF('Perso Reloaded'!$L$22=A45,1,0)</f>
        <v>0</v>
      </c>
      <c r="O45">
        <f>IF('Perso Reloaded'!$L$23=A45,1,0)</f>
        <v>0</v>
      </c>
      <c r="P45">
        <f>IF('Perso Reloaded'!$L$24=A45,1,0)</f>
        <v>0</v>
      </c>
      <c r="Q45">
        <f>IF('Perso Reloaded'!$L$25=A45,1,0)</f>
        <v>0</v>
      </c>
      <c r="R45">
        <f>IF('Perso Reloaded'!$L$26=A45,1,0)</f>
        <v>0</v>
      </c>
      <c r="S45">
        <f>IF('Perso Reloaded'!$L$27=A45,1,0)</f>
        <v>0</v>
      </c>
      <c r="T45">
        <f t="shared" si="0"/>
        <v>0</v>
      </c>
      <c r="U45" t="b">
        <f t="shared" si="1"/>
        <v>0</v>
      </c>
    </row>
    <row r="46" spans="1:21" x14ac:dyDescent="0.3">
      <c r="A46" s="65" t="s">
        <v>3224</v>
      </c>
      <c r="B46">
        <f>IF(AtoutsHandicapsMatos!$C$5=A46,1,0)</f>
        <v>0</v>
      </c>
      <c r="C46">
        <f>IF(AtoutsHandicapsMatos!$C$6=A46,1,0)</f>
        <v>0</v>
      </c>
      <c r="D46">
        <f>IF(AtoutsHandicapsMatos!$C$7=A46,1,0)</f>
        <v>0</v>
      </c>
      <c r="E46">
        <f>IF(AtoutsHandicapsMatos!$C$8=A46,1,0)</f>
        <v>0</v>
      </c>
      <c r="F46">
        <f>IF(AtoutsHandicapsMatos!$C$9=A46,1,0)</f>
        <v>0</v>
      </c>
      <c r="G46">
        <f>IF(AtoutsHandicapsMatos!$C$10=A46,1,0)</f>
        <v>0</v>
      </c>
      <c r="H46">
        <f>IF(AtoutsHandicapsMatos!$C$11=A46,1,0)</f>
        <v>0</v>
      </c>
      <c r="I46">
        <f>IF(AtoutsHandicapsMatos!$C$12=A46,1,0)</f>
        <v>0</v>
      </c>
      <c r="J46">
        <f>IF(AtoutsHandicapsMatos!$C$13=A46,1,0)</f>
        <v>0</v>
      </c>
      <c r="K46">
        <f>IF(AtoutsHandicapsMatos!$C$14=A46,1,0)</f>
        <v>0</v>
      </c>
      <c r="L46">
        <f>IF('Perso Reloaded'!$L$20=A46,1,0)</f>
        <v>0</v>
      </c>
      <c r="M46">
        <f>IF('Perso Reloaded'!$L$21=A46,1,0)</f>
        <v>0</v>
      </c>
      <c r="N46">
        <f>IF('Perso Reloaded'!$L$22=A46,1,0)</f>
        <v>0</v>
      </c>
      <c r="O46">
        <f>IF('Perso Reloaded'!$L$23=A46,1,0)</f>
        <v>0</v>
      </c>
      <c r="P46">
        <f>IF('Perso Reloaded'!$L$24=A46,1,0)</f>
        <v>0</v>
      </c>
      <c r="Q46">
        <f>IF('Perso Reloaded'!$L$25=A46,1,0)</f>
        <v>0</v>
      </c>
      <c r="R46">
        <f>IF('Perso Reloaded'!$L$26=A46,1,0)</f>
        <v>0</v>
      </c>
      <c r="S46">
        <f>IF('Perso Reloaded'!$L$27=A46,1,0)</f>
        <v>0</v>
      </c>
      <c r="T46">
        <f t="shared" si="0"/>
        <v>0</v>
      </c>
      <c r="U46" t="b">
        <f t="shared" si="1"/>
        <v>0</v>
      </c>
    </row>
    <row r="47" spans="1:21" x14ac:dyDescent="0.3">
      <c r="A47" s="65" t="s">
        <v>3225</v>
      </c>
      <c r="B47">
        <f>IF(AtoutsHandicapsMatos!$C$5=A47,1,0)</f>
        <v>0</v>
      </c>
      <c r="C47">
        <f>IF(AtoutsHandicapsMatos!$C$6=A47,1,0)</f>
        <v>0</v>
      </c>
      <c r="D47">
        <f>IF(AtoutsHandicapsMatos!$C$7=A47,1,0)</f>
        <v>0</v>
      </c>
      <c r="E47">
        <f>IF(AtoutsHandicapsMatos!$C$8=A47,1,0)</f>
        <v>0</v>
      </c>
      <c r="F47">
        <f>IF(AtoutsHandicapsMatos!$C$9=A47,1,0)</f>
        <v>0</v>
      </c>
      <c r="G47">
        <f>IF(AtoutsHandicapsMatos!$C$10=A47,1,0)</f>
        <v>0</v>
      </c>
      <c r="H47">
        <f>IF(AtoutsHandicapsMatos!$C$11=A47,1,0)</f>
        <v>0</v>
      </c>
      <c r="I47">
        <f>IF(AtoutsHandicapsMatos!$C$12=A47,1,0)</f>
        <v>0</v>
      </c>
      <c r="J47">
        <f>IF(AtoutsHandicapsMatos!$C$13=A47,1,0)</f>
        <v>0</v>
      </c>
      <c r="K47">
        <f>IF(AtoutsHandicapsMatos!$C$14=A47,1,0)</f>
        <v>0</v>
      </c>
      <c r="L47">
        <f>IF('Perso Reloaded'!$L$20=A47,1,0)</f>
        <v>0</v>
      </c>
      <c r="M47">
        <f>IF('Perso Reloaded'!$L$21=A47,1,0)</f>
        <v>0</v>
      </c>
      <c r="N47">
        <f>IF('Perso Reloaded'!$L$22=A47,1,0)</f>
        <v>0</v>
      </c>
      <c r="O47">
        <f>IF('Perso Reloaded'!$L$23=A47,1,0)</f>
        <v>0</v>
      </c>
      <c r="P47">
        <f>IF('Perso Reloaded'!$L$24=A47,1,0)</f>
        <v>0</v>
      </c>
      <c r="Q47">
        <f>IF('Perso Reloaded'!$L$25=A47,1,0)</f>
        <v>0</v>
      </c>
      <c r="R47">
        <f>IF('Perso Reloaded'!$L$26=A47,1,0)</f>
        <v>0</v>
      </c>
      <c r="S47">
        <f>IF('Perso Reloaded'!$L$27=A47,1,0)</f>
        <v>0</v>
      </c>
      <c r="T47">
        <f t="shared" si="0"/>
        <v>0</v>
      </c>
      <c r="U47" t="b">
        <f t="shared" si="1"/>
        <v>0</v>
      </c>
    </row>
    <row r="48" spans="1:21" x14ac:dyDescent="0.3">
      <c r="A48" s="65" t="str">
        <f>IF(SexePerso="Féminin","Baraquée/Costaude",IF('Perso Reloaded'!$C$6="Féminin","Baraquée/Costaude","Baraqué/Costaud"))</f>
        <v>Baraqué/Costaud</v>
      </c>
      <c r="B48">
        <f>IF(AtoutsHandicapsMatos!$C$5=A48,1,0)</f>
        <v>0</v>
      </c>
      <c r="C48">
        <f>IF(AtoutsHandicapsMatos!$C$6=A48,1,0)</f>
        <v>0</v>
      </c>
      <c r="D48">
        <f>IF(AtoutsHandicapsMatos!$C$7=A48,1,0)</f>
        <v>0</v>
      </c>
      <c r="E48">
        <f>IF(AtoutsHandicapsMatos!$C$8=A48,1,0)</f>
        <v>0</v>
      </c>
      <c r="F48">
        <f>IF(AtoutsHandicapsMatos!$C$9=A48,1,0)</f>
        <v>0</v>
      </c>
      <c r="G48">
        <f>IF(AtoutsHandicapsMatos!$C$10=A48,1,0)</f>
        <v>0</v>
      </c>
      <c r="H48">
        <f>IF(AtoutsHandicapsMatos!$C$11=A48,1,0)</f>
        <v>0</v>
      </c>
      <c r="I48">
        <f>IF(AtoutsHandicapsMatos!$C$12=A48,1,0)</f>
        <v>0</v>
      </c>
      <c r="J48">
        <f>IF(AtoutsHandicapsMatos!$C$13=A48,1,0)</f>
        <v>0</v>
      </c>
      <c r="K48">
        <f>IF(AtoutsHandicapsMatos!$C$14=A48,1,0)</f>
        <v>0</v>
      </c>
      <c r="L48">
        <f>IF('Perso Reloaded'!$L$20=A48,1,0)</f>
        <v>0</v>
      </c>
      <c r="M48">
        <f>IF('Perso Reloaded'!$L$21=A48,1,0)</f>
        <v>0</v>
      </c>
      <c r="N48">
        <f>IF('Perso Reloaded'!$L$22=A48,1,0)</f>
        <v>0</v>
      </c>
      <c r="O48">
        <f>IF('Perso Reloaded'!$L$23=A48,1,0)</f>
        <v>0</v>
      </c>
      <c r="P48">
        <f>IF('Perso Reloaded'!$L$24=A48,1,0)</f>
        <v>0</v>
      </c>
      <c r="Q48">
        <f>IF('Perso Reloaded'!$L$25=A48,1,0)</f>
        <v>0</v>
      </c>
      <c r="R48">
        <f>IF('Perso Reloaded'!$L$26=A48,1,0)</f>
        <v>0</v>
      </c>
      <c r="S48">
        <f>IF('Perso Reloaded'!$L$27=A48,1,0)</f>
        <v>0</v>
      </c>
      <c r="T48">
        <f t="shared" si="0"/>
        <v>0</v>
      </c>
      <c r="U48" t="b">
        <f t="shared" si="1"/>
        <v>0</v>
      </c>
    </row>
    <row r="49" spans="1:21" x14ac:dyDescent="0.3">
      <c r="A49" s="65" t="s">
        <v>5149</v>
      </c>
      <c r="B49">
        <f>IF(AtoutsHandicapsMatos!$C$5=A49,1,0)</f>
        <v>0</v>
      </c>
      <c r="C49">
        <f>IF(AtoutsHandicapsMatos!$C$6=A49,1,0)</f>
        <v>0</v>
      </c>
      <c r="D49">
        <f>IF(AtoutsHandicapsMatos!$C$7=A49,1,0)</f>
        <v>0</v>
      </c>
      <c r="E49">
        <f>IF(AtoutsHandicapsMatos!$C$8=A49,1,0)</f>
        <v>0</v>
      </c>
      <c r="F49">
        <f>IF(AtoutsHandicapsMatos!$C$9=A49,1,0)</f>
        <v>0</v>
      </c>
      <c r="G49">
        <f>IF(AtoutsHandicapsMatos!$C$10=A49,1,0)</f>
        <v>0</v>
      </c>
      <c r="H49">
        <f>IF(AtoutsHandicapsMatos!$C$11=A49,1,0)</f>
        <v>0</v>
      </c>
      <c r="I49">
        <f>IF(AtoutsHandicapsMatos!$C$12=A49,1,0)</f>
        <v>0</v>
      </c>
      <c r="J49">
        <f>IF(AtoutsHandicapsMatos!$C$13=A49,1,0)</f>
        <v>0</v>
      </c>
      <c r="K49">
        <f>IF(AtoutsHandicapsMatos!$C$14=A49,1,0)</f>
        <v>0</v>
      </c>
      <c r="L49">
        <f>IF('Perso Reloaded'!$L$20=A49,1,0)</f>
        <v>0</v>
      </c>
      <c r="M49">
        <f>IF('Perso Reloaded'!$L$21=A49,1,0)</f>
        <v>0</v>
      </c>
      <c r="N49">
        <f>IF('Perso Reloaded'!$L$22=A49,1,0)</f>
        <v>0</v>
      </c>
      <c r="O49">
        <f>IF('Perso Reloaded'!$L$23=A49,1,0)</f>
        <v>0</v>
      </c>
      <c r="P49">
        <f>IF('Perso Reloaded'!$L$24=A49,1,0)</f>
        <v>0</v>
      </c>
      <c r="Q49">
        <f>IF('Perso Reloaded'!$L$25=A49,1,0)</f>
        <v>0</v>
      </c>
      <c r="R49">
        <f>IF('Perso Reloaded'!$L$26=A49,1,0)</f>
        <v>0</v>
      </c>
      <c r="S49">
        <f>IF('Perso Reloaded'!$L$27=A49,1,0)</f>
        <v>0</v>
      </c>
      <c r="T49">
        <f t="shared" si="0"/>
        <v>0</v>
      </c>
      <c r="U49" t="b">
        <f t="shared" si="1"/>
        <v>0</v>
      </c>
    </row>
    <row r="50" spans="1:21" x14ac:dyDescent="0.3">
      <c r="A50" s="65" t="str">
        <f>IF(SexePerso="Féminin","Belle Gueule/Séduisante",IF('Perso Reloaded'!$C$6="Féminin","Belle Gueule/Séduisante","Belle Gueule/Séduisant"))</f>
        <v>Belle Gueule/Séduisant</v>
      </c>
      <c r="B50">
        <f>IF(AtoutsHandicapsMatos!$C$5=A50,1,0)</f>
        <v>0</v>
      </c>
      <c r="C50">
        <f>IF(AtoutsHandicapsMatos!$C$6=A50,1,0)</f>
        <v>0</v>
      </c>
      <c r="D50">
        <f>IF(AtoutsHandicapsMatos!$C$7=A50,1,0)</f>
        <v>0</v>
      </c>
      <c r="E50">
        <f>IF(AtoutsHandicapsMatos!$C$8=A50,1,0)</f>
        <v>0</v>
      </c>
      <c r="F50">
        <f>IF(AtoutsHandicapsMatos!$C$9=A50,1,0)</f>
        <v>0</v>
      </c>
      <c r="G50">
        <f>IF(AtoutsHandicapsMatos!$C$10=A50,1,0)</f>
        <v>0</v>
      </c>
      <c r="H50">
        <f>IF(AtoutsHandicapsMatos!$C$11=A50,1,0)</f>
        <v>0</v>
      </c>
      <c r="I50">
        <f>IF(AtoutsHandicapsMatos!$C$12=A50,1,0)</f>
        <v>0</v>
      </c>
      <c r="J50">
        <f>IF(AtoutsHandicapsMatos!$C$13=A50,1,0)</f>
        <v>0</v>
      </c>
      <c r="K50">
        <f>IF(AtoutsHandicapsMatos!$C$14=A50,1,0)</f>
        <v>0</v>
      </c>
      <c r="L50">
        <f>IF('Perso Reloaded'!$L$20=A50,1,0)</f>
        <v>0</v>
      </c>
      <c r="M50">
        <f>IF('Perso Reloaded'!$L$21=A50,1,0)</f>
        <v>0</v>
      </c>
      <c r="N50">
        <f>IF('Perso Reloaded'!$L$22=A50,1,0)</f>
        <v>0</v>
      </c>
      <c r="O50">
        <f>IF('Perso Reloaded'!$L$23=A50,1,0)</f>
        <v>0</v>
      </c>
      <c r="P50">
        <f>IF('Perso Reloaded'!$L$24=A50,1,0)</f>
        <v>0</v>
      </c>
      <c r="Q50">
        <f>IF('Perso Reloaded'!$L$25=A50,1,0)</f>
        <v>0</v>
      </c>
      <c r="R50">
        <f>IF('Perso Reloaded'!$L$26=A50,1,0)</f>
        <v>0</v>
      </c>
      <c r="S50">
        <f>IF('Perso Reloaded'!$L$27=A50,1,0)</f>
        <v>0</v>
      </c>
      <c r="T50">
        <f t="shared" si="0"/>
        <v>0</v>
      </c>
      <c r="U50" t="b">
        <f t="shared" si="1"/>
        <v>0</v>
      </c>
    </row>
    <row r="51" spans="1:21" x14ac:dyDescent="0.3">
      <c r="A51" s="65" t="str">
        <f>IF(SexePerso="Féminin","Belle Gueule/Séduisante à couper le souffle",IF('Perso Reloaded'!$C$6="Féminin","Belle Gueule/Séduisante à couper le souffle","Belle Gueule/Séduisant à couper le souffle"))</f>
        <v>Belle Gueule/Séduisant à couper le souffle</v>
      </c>
      <c r="B51">
        <f>IF(AtoutsHandicapsMatos!$C$5=A51,1,0)</f>
        <v>0</v>
      </c>
      <c r="C51">
        <f>IF(AtoutsHandicapsMatos!$C$6=A51,1,0)</f>
        <v>0</v>
      </c>
      <c r="D51">
        <f>IF(AtoutsHandicapsMatos!$C$7=A51,1,0)</f>
        <v>0</v>
      </c>
      <c r="E51">
        <f>IF(AtoutsHandicapsMatos!$C$8=A51,1,0)</f>
        <v>0</v>
      </c>
      <c r="F51">
        <f>IF(AtoutsHandicapsMatos!$C$9=A51,1,0)</f>
        <v>0</v>
      </c>
      <c r="G51">
        <f>IF(AtoutsHandicapsMatos!$C$10=A51,1,0)</f>
        <v>0</v>
      </c>
      <c r="H51">
        <f>IF(AtoutsHandicapsMatos!$C$11=A51,1,0)</f>
        <v>0</v>
      </c>
      <c r="I51">
        <f>IF(AtoutsHandicapsMatos!$C$12=A51,1,0)</f>
        <v>0</v>
      </c>
      <c r="J51">
        <f>IF(AtoutsHandicapsMatos!$C$13=A51,1,0)</f>
        <v>0</v>
      </c>
      <c r="K51">
        <f>IF(AtoutsHandicapsMatos!$C$14=A51,1,0)</f>
        <v>0</v>
      </c>
      <c r="L51">
        <f>IF('Perso Reloaded'!$L$20=A51,1,0)</f>
        <v>0</v>
      </c>
      <c r="M51">
        <f>IF('Perso Reloaded'!$L$21=A51,1,0)</f>
        <v>0</v>
      </c>
      <c r="N51">
        <f>IF('Perso Reloaded'!$L$22=A51,1,0)</f>
        <v>0</v>
      </c>
      <c r="O51">
        <f>IF('Perso Reloaded'!$L$23=A51,1,0)</f>
        <v>0</v>
      </c>
      <c r="P51">
        <f>IF('Perso Reloaded'!$L$24=A51,1,0)</f>
        <v>0</v>
      </c>
      <c r="Q51">
        <f>IF('Perso Reloaded'!$L$25=A51,1,0)</f>
        <v>0</v>
      </c>
      <c r="R51">
        <f>IF('Perso Reloaded'!$L$26=A51,1,0)</f>
        <v>0</v>
      </c>
      <c r="S51">
        <f>IF('Perso Reloaded'!$L$27=A51,1,0)</f>
        <v>0</v>
      </c>
      <c r="T51">
        <f t="shared" si="0"/>
        <v>0</v>
      </c>
      <c r="U51" t="b">
        <f t="shared" si="1"/>
        <v>0</v>
      </c>
    </row>
    <row r="52" spans="1:21" x14ac:dyDescent="0.3">
      <c r="A52" s="65" t="str">
        <f>IF(SexePerso="Féminin","Bricoleuse de Génie",IF('Perso Reloaded'!$C$6="Féminin","Bricoleuse de Génie","Bricoleur de Génie"))</f>
        <v>Bricoleur de Génie</v>
      </c>
      <c r="B52">
        <f>IF(AtoutsHandicapsMatos!$C$5=A52,1,0)</f>
        <v>0</v>
      </c>
      <c r="C52">
        <f>IF(AtoutsHandicapsMatos!$C$6=A52,1,0)</f>
        <v>0</v>
      </c>
      <c r="D52">
        <f>IF(AtoutsHandicapsMatos!$C$7=A52,1,0)</f>
        <v>0</v>
      </c>
      <c r="E52">
        <f>IF(AtoutsHandicapsMatos!$C$8=A52,1,0)</f>
        <v>0</v>
      </c>
      <c r="F52">
        <f>IF(AtoutsHandicapsMatos!$C$9=A52,1,0)</f>
        <v>0</v>
      </c>
      <c r="G52">
        <f>IF(AtoutsHandicapsMatos!$C$10=A52,1,0)</f>
        <v>0</v>
      </c>
      <c r="H52">
        <f>IF(AtoutsHandicapsMatos!$C$11=A52,1,0)</f>
        <v>0</v>
      </c>
      <c r="I52">
        <f>IF(AtoutsHandicapsMatos!$C$12=A52,1,0)</f>
        <v>0</v>
      </c>
      <c r="J52">
        <f>IF(AtoutsHandicapsMatos!$C$13=A52,1,0)</f>
        <v>0</v>
      </c>
      <c r="K52">
        <f>IF(AtoutsHandicapsMatos!$C$14=A52,1,0)</f>
        <v>0</v>
      </c>
      <c r="L52">
        <f>IF('Perso Reloaded'!$L$20=A52,1,0)</f>
        <v>0</v>
      </c>
      <c r="M52">
        <f>IF('Perso Reloaded'!$L$21=A52,1,0)</f>
        <v>0</v>
      </c>
      <c r="N52">
        <f>IF('Perso Reloaded'!$L$22=A52,1,0)</f>
        <v>0</v>
      </c>
      <c r="O52">
        <f>IF('Perso Reloaded'!$L$23=A52,1,0)</f>
        <v>0</v>
      </c>
      <c r="P52">
        <f>IF('Perso Reloaded'!$L$24=A52,1,0)</f>
        <v>0</v>
      </c>
      <c r="Q52">
        <f>IF('Perso Reloaded'!$L$25=A52,1,0)</f>
        <v>0</v>
      </c>
      <c r="R52">
        <f>IF('Perso Reloaded'!$L$26=A52,1,0)</f>
        <v>0</v>
      </c>
      <c r="S52">
        <f>IF('Perso Reloaded'!$L$27=A52,1,0)</f>
        <v>0</v>
      </c>
      <c r="T52">
        <f t="shared" si="0"/>
        <v>0</v>
      </c>
      <c r="U52" t="b">
        <f t="shared" si="1"/>
        <v>0</v>
      </c>
    </row>
    <row r="53" spans="1:21" x14ac:dyDescent="0.3">
      <c r="A53" s="65" t="str">
        <f>IF(SexePerso="Féminin","Canonnière",IF('Perso Reloaded'!$C$6="Féminin","Canonnière","Canonnier"))</f>
        <v>Canonnier</v>
      </c>
      <c r="B53">
        <f>IF(AtoutsHandicapsMatos!$C$5=A53,1,0)</f>
        <v>0</v>
      </c>
      <c r="C53">
        <f>IF(AtoutsHandicapsMatos!$C$6=A53,1,0)</f>
        <v>0</v>
      </c>
      <c r="D53">
        <f>IF(AtoutsHandicapsMatos!$C$7=A53,1,0)</f>
        <v>0</v>
      </c>
      <c r="E53">
        <f>IF(AtoutsHandicapsMatos!$C$8=A53,1,0)</f>
        <v>0</v>
      </c>
      <c r="F53">
        <f>IF(AtoutsHandicapsMatos!$C$9=A53,1,0)</f>
        <v>0</v>
      </c>
      <c r="G53">
        <f>IF(AtoutsHandicapsMatos!$C$10=A53,1,0)</f>
        <v>0</v>
      </c>
      <c r="H53">
        <f>IF(AtoutsHandicapsMatos!$C$11=A53,1,0)</f>
        <v>0</v>
      </c>
      <c r="I53">
        <f>IF(AtoutsHandicapsMatos!$C$12=A53,1,0)</f>
        <v>0</v>
      </c>
      <c r="J53">
        <f>IF(AtoutsHandicapsMatos!$C$13=A53,1,0)</f>
        <v>0</v>
      </c>
      <c r="K53">
        <f>IF(AtoutsHandicapsMatos!$C$14=A53,1,0)</f>
        <v>0</v>
      </c>
      <c r="L53">
        <f>IF('Perso Reloaded'!$L$20=A53,1,0)</f>
        <v>0</v>
      </c>
      <c r="M53">
        <f>IF('Perso Reloaded'!$L$21=A53,1,0)</f>
        <v>0</v>
      </c>
      <c r="N53">
        <f>IF('Perso Reloaded'!$L$22=A53,1,0)</f>
        <v>0</v>
      </c>
      <c r="O53">
        <f>IF('Perso Reloaded'!$L$23=A53,1,0)</f>
        <v>0</v>
      </c>
      <c r="P53">
        <f>IF('Perso Reloaded'!$L$24=A53,1,0)</f>
        <v>0</v>
      </c>
      <c r="Q53">
        <f>IF('Perso Reloaded'!$L$25=A53,1,0)</f>
        <v>0</v>
      </c>
      <c r="R53">
        <f>IF('Perso Reloaded'!$L$26=A53,1,0)</f>
        <v>0</v>
      </c>
      <c r="S53">
        <f>IF('Perso Reloaded'!$L$27=A53,1,0)</f>
        <v>0</v>
      </c>
      <c r="T53">
        <f t="shared" si="0"/>
        <v>0</v>
      </c>
      <c r="U53" t="b">
        <f t="shared" si="1"/>
        <v>0</v>
      </c>
    </row>
    <row r="54" spans="1:21" x14ac:dyDescent="0.3">
      <c r="A54" s="65" t="s">
        <v>4712</v>
      </c>
      <c r="B54">
        <f>IF(AtoutsHandicapsMatos!$C$5=A54,1,0)</f>
        <v>0</v>
      </c>
      <c r="C54">
        <f>IF(AtoutsHandicapsMatos!$C$6=A54,1,0)</f>
        <v>0</v>
      </c>
      <c r="D54">
        <f>IF(AtoutsHandicapsMatos!$C$7=A54,1,0)</f>
        <v>0</v>
      </c>
      <c r="E54">
        <f>IF(AtoutsHandicapsMatos!$C$8=A54,1,0)</f>
        <v>0</v>
      </c>
      <c r="F54">
        <f>IF(AtoutsHandicapsMatos!$C$9=A54,1,0)</f>
        <v>0</v>
      </c>
      <c r="G54">
        <f>IF(AtoutsHandicapsMatos!$C$10=A54,1,0)</f>
        <v>0</v>
      </c>
      <c r="H54">
        <f>IF(AtoutsHandicapsMatos!$C$11=A54,1,0)</f>
        <v>0</v>
      </c>
      <c r="I54">
        <f>IF(AtoutsHandicapsMatos!$C$12=A54,1,0)</f>
        <v>0</v>
      </c>
      <c r="J54">
        <f>IF(AtoutsHandicapsMatos!$C$13=A54,1,0)</f>
        <v>0</v>
      </c>
      <c r="K54">
        <f>IF(AtoutsHandicapsMatos!$C$14=A54,1,0)</f>
        <v>0</v>
      </c>
      <c r="L54">
        <f>IF('Perso Reloaded'!$L$20=A54,1,0)</f>
        <v>0</v>
      </c>
      <c r="M54">
        <f>IF('Perso Reloaded'!$L$21=A54,1,0)</f>
        <v>0</v>
      </c>
      <c r="N54">
        <f>IF('Perso Reloaded'!$L$22=A54,1,0)</f>
        <v>0</v>
      </c>
      <c r="O54">
        <f>IF('Perso Reloaded'!$L$23=A54,1,0)</f>
        <v>0</v>
      </c>
      <c r="P54">
        <f>IF('Perso Reloaded'!$L$24=A54,1,0)</f>
        <v>0</v>
      </c>
      <c r="Q54">
        <f>IF('Perso Reloaded'!$L$25=A54,1,0)</f>
        <v>0</v>
      </c>
      <c r="R54">
        <f>IF('Perso Reloaded'!$L$26=A54,1,0)</f>
        <v>0</v>
      </c>
      <c r="S54">
        <f>IF('Perso Reloaded'!$L$27=A54,1,0)</f>
        <v>0</v>
      </c>
      <c r="T54">
        <f t="shared" si="0"/>
        <v>0</v>
      </c>
      <c r="U54" t="b">
        <f t="shared" si="1"/>
        <v>0</v>
      </c>
    </row>
    <row r="55" spans="1:21" x14ac:dyDescent="0.3">
      <c r="A55" s="65" t="str">
        <f>IF(SexePerso="Féminin","Cavalière",IF('Perso Reloaded'!$C$6="Féminin","Cavalière","Cavalier"))</f>
        <v>Cavalier</v>
      </c>
      <c r="B55">
        <f>IF(AtoutsHandicapsMatos!$C$5=A55,1,0)</f>
        <v>0</v>
      </c>
      <c r="C55">
        <f>IF(AtoutsHandicapsMatos!$C$6=A55,1,0)</f>
        <v>0</v>
      </c>
      <c r="D55">
        <f>IF(AtoutsHandicapsMatos!$C$7=A55,1,0)</f>
        <v>0</v>
      </c>
      <c r="E55">
        <f>IF(AtoutsHandicapsMatos!$C$8=A55,1,0)</f>
        <v>0</v>
      </c>
      <c r="F55">
        <f>IF(AtoutsHandicapsMatos!$C$9=A55,1,0)</f>
        <v>0</v>
      </c>
      <c r="G55">
        <f>IF(AtoutsHandicapsMatos!$C$10=A55,1,0)</f>
        <v>0</v>
      </c>
      <c r="H55">
        <f>IF(AtoutsHandicapsMatos!$C$11=A55,1,0)</f>
        <v>0</v>
      </c>
      <c r="I55">
        <f>IF(AtoutsHandicapsMatos!$C$12=A55,1,0)</f>
        <v>0</v>
      </c>
      <c r="J55">
        <f>IF(AtoutsHandicapsMatos!$C$13=A55,1,0)</f>
        <v>0</v>
      </c>
      <c r="K55">
        <f>IF(AtoutsHandicapsMatos!$C$14=A55,1,0)</f>
        <v>0</v>
      </c>
      <c r="L55">
        <f>IF('Perso Reloaded'!$L$20=A55,1,0)</f>
        <v>0</v>
      </c>
      <c r="M55">
        <f>IF('Perso Reloaded'!$L$21=A55,1,0)</f>
        <v>0</v>
      </c>
      <c r="N55">
        <f>IF('Perso Reloaded'!$L$22=A55,1,0)</f>
        <v>0</v>
      </c>
      <c r="O55">
        <f>IF('Perso Reloaded'!$L$23=A55,1,0)</f>
        <v>0</v>
      </c>
      <c r="P55">
        <f>IF('Perso Reloaded'!$L$24=A55,1,0)</f>
        <v>0</v>
      </c>
      <c r="Q55">
        <f>IF('Perso Reloaded'!$L$25=A55,1,0)</f>
        <v>0</v>
      </c>
      <c r="R55">
        <f>IF('Perso Reloaded'!$L$26=A55,1,0)</f>
        <v>0</v>
      </c>
      <c r="S55">
        <f>IF('Perso Reloaded'!$L$27=A55,1,0)</f>
        <v>0</v>
      </c>
      <c r="T55">
        <f t="shared" si="0"/>
        <v>0</v>
      </c>
      <c r="U55" t="b">
        <f t="shared" si="1"/>
        <v>0</v>
      </c>
    </row>
    <row r="56" spans="1:21" x14ac:dyDescent="0.3">
      <c r="A56" s="65" t="s">
        <v>5150</v>
      </c>
      <c r="B56">
        <f>IF(AtoutsHandicapsMatos!$C$5=A56,1,0)</f>
        <v>0</v>
      </c>
      <c r="C56">
        <f>IF(AtoutsHandicapsMatos!$C$6=A56,1,0)</f>
        <v>0</v>
      </c>
      <c r="D56">
        <f>IF(AtoutsHandicapsMatos!$C$7=A56,1,0)</f>
        <v>0</v>
      </c>
      <c r="E56">
        <f>IF(AtoutsHandicapsMatos!$C$8=A56,1,0)</f>
        <v>0</v>
      </c>
      <c r="F56">
        <f>IF(AtoutsHandicapsMatos!$C$9=A56,1,0)</f>
        <v>0</v>
      </c>
      <c r="G56">
        <f>IF(AtoutsHandicapsMatos!$C$10=A56,1,0)</f>
        <v>0</v>
      </c>
      <c r="H56">
        <f>IF(AtoutsHandicapsMatos!$C$11=A56,1,0)</f>
        <v>0</v>
      </c>
      <c r="I56">
        <f>IF(AtoutsHandicapsMatos!$C$12=A56,1,0)</f>
        <v>0</v>
      </c>
      <c r="J56">
        <f>IF(AtoutsHandicapsMatos!$C$13=A56,1,0)</f>
        <v>0</v>
      </c>
      <c r="K56">
        <f>IF(AtoutsHandicapsMatos!$C$14=A56,1,0)</f>
        <v>0</v>
      </c>
      <c r="L56">
        <f>IF('Perso Reloaded'!$L$20=A56,1,0)</f>
        <v>0</v>
      </c>
      <c r="M56">
        <f>IF('Perso Reloaded'!$L$21=A56,1,0)</f>
        <v>0</v>
      </c>
      <c r="N56">
        <f>IF('Perso Reloaded'!$L$22=A56,1,0)</f>
        <v>0</v>
      </c>
      <c r="O56">
        <f>IF('Perso Reloaded'!$L$23=A56,1,0)</f>
        <v>0</v>
      </c>
      <c r="P56">
        <f>IF('Perso Reloaded'!$L$24=A56,1,0)</f>
        <v>0</v>
      </c>
      <c r="Q56">
        <f>IF('Perso Reloaded'!$L$25=A56,1,0)</f>
        <v>0</v>
      </c>
      <c r="R56">
        <f>IF('Perso Reloaded'!$L$26=A56,1,0)</f>
        <v>0</v>
      </c>
      <c r="S56">
        <f>IF('Perso Reloaded'!$L$27=A56,1,0)</f>
        <v>0</v>
      </c>
      <c r="T56">
        <f t="shared" si="0"/>
        <v>0</v>
      </c>
      <c r="U56" t="b">
        <f t="shared" si="1"/>
        <v>0</v>
      </c>
    </row>
    <row r="57" spans="1:21" x14ac:dyDescent="0.3">
      <c r="A57" s="65" t="str">
        <f>IF(SexePerso="Féminin","Championne",IF('Perso Reloaded'!$C$6="Féminin","Championne","Champion"))</f>
        <v>Champion</v>
      </c>
      <c r="B57">
        <f>IF(AtoutsHandicapsMatos!$C$5=A57,1,0)</f>
        <v>0</v>
      </c>
      <c r="C57">
        <f>IF(AtoutsHandicapsMatos!$C$6=A57,1,0)</f>
        <v>0</v>
      </c>
      <c r="D57">
        <f>IF(AtoutsHandicapsMatos!$C$7=A57,1,0)</f>
        <v>0</v>
      </c>
      <c r="E57">
        <f>IF(AtoutsHandicapsMatos!$C$8=A57,1,0)</f>
        <v>0</v>
      </c>
      <c r="F57">
        <f>IF(AtoutsHandicapsMatos!$C$9=A57,1,0)</f>
        <v>0</v>
      </c>
      <c r="G57">
        <f>IF(AtoutsHandicapsMatos!$C$10=A57,1,0)</f>
        <v>0</v>
      </c>
      <c r="H57">
        <f>IF(AtoutsHandicapsMatos!$C$11=A57,1,0)</f>
        <v>0</v>
      </c>
      <c r="I57">
        <f>IF(AtoutsHandicapsMatos!$C$12=A57,1,0)</f>
        <v>0</v>
      </c>
      <c r="J57">
        <f>IF(AtoutsHandicapsMatos!$C$13=A57,1,0)</f>
        <v>0</v>
      </c>
      <c r="K57">
        <f>IF(AtoutsHandicapsMatos!$C$14=A57,1,0)</f>
        <v>0</v>
      </c>
      <c r="L57">
        <f>IF('Perso Reloaded'!$L$20=A57,1,0)</f>
        <v>0</v>
      </c>
      <c r="M57">
        <f>IF('Perso Reloaded'!$L$21=A57,1,0)</f>
        <v>0</v>
      </c>
      <c r="N57">
        <f>IF('Perso Reloaded'!$L$22=A57,1,0)</f>
        <v>0</v>
      </c>
      <c r="O57">
        <f>IF('Perso Reloaded'!$L$23=A57,1,0)</f>
        <v>0</v>
      </c>
      <c r="P57">
        <f>IF('Perso Reloaded'!$L$24=A57,1,0)</f>
        <v>0</v>
      </c>
      <c r="Q57">
        <f>IF('Perso Reloaded'!$L$25=A57,1,0)</f>
        <v>0</v>
      </c>
      <c r="R57">
        <f>IF('Perso Reloaded'!$L$26=A57,1,0)</f>
        <v>0</v>
      </c>
      <c r="S57">
        <f>IF('Perso Reloaded'!$L$27=A57,1,0)</f>
        <v>0</v>
      </c>
      <c r="T57">
        <f t="shared" si="0"/>
        <v>0</v>
      </c>
      <c r="U57" t="b">
        <f t="shared" si="1"/>
        <v>0</v>
      </c>
    </row>
    <row r="58" spans="1:21" x14ac:dyDescent="0.3">
      <c r="A58" s="65" t="str">
        <f>IF(SexePerso="Féminin","Escroqueuse",IF('Perso Reloaded'!$C$6="Féminin","Escroqueuse","Charlatan"))</f>
        <v>Charlatan</v>
      </c>
      <c r="B58">
        <f>IF(AtoutsHandicapsMatos!$C$5=A58,1,0)</f>
        <v>0</v>
      </c>
      <c r="C58">
        <f>IF(AtoutsHandicapsMatos!$C$6=A58,1,0)</f>
        <v>0</v>
      </c>
      <c r="D58">
        <f>IF(AtoutsHandicapsMatos!$C$7=A58,1,0)</f>
        <v>0</v>
      </c>
      <c r="E58">
        <f>IF(AtoutsHandicapsMatos!$C$8=A58,1,0)</f>
        <v>0</v>
      </c>
      <c r="F58">
        <f>IF(AtoutsHandicapsMatos!$C$9=A58,1,0)</f>
        <v>0</v>
      </c>
      <c r="G58">
        <f>IF(AtoutsHandicapsMatos!$C$10=A58,1,0)</f>
        <v>0</v>
      </c>
      <c r="H58">
        <f>IF(AtoutsHandicapsMatos!$C$11=A58,1,0)</f>
        <v>0</v>
      </c>
      <c r="I58">
        <f>IF(AtoutsHandicapsMatos!$C$12=A58,1,0)</f>
        <v>0</v>
      </c>
      <c r="J58">
        <f>IF(AtoutsHandicapsMatos!$C$13=A58,1,0)</f>
        <v>0</v>
      </c>
      <c r="K58">
        <f>IF(AtoutsHandicapsMatos!$C$14=A58,1,0)</f>
        <v>0</v>
      </c>
      <c r="L58">
        <f>IF('Perso Reloaded'!$L$20=A58,1,0)</f>
        <v>0</v>
      </c>
      <c r="M58">
        <f>IF('Perso Reloaded'!$L$21=A58,1,0)</f>
        <v>0</v>
      </c>
      <c r="N58">
        <f>IF('Perso Reloaded'!$L$22=A58,1,0)</f>
        <v>0</v>
      </c>
      <c r="O58">
        <f>IF('Perso Reloaded'!$L$23=A58,1,0)</f>
        <v>0</v>
      </c>
      <c r="P58">
        <f>IF('Perso Reloaded'!$L$24=A58,1,0)</f>
        <v>0</v>
      </c>
      <c r="Q58">
        <f>IF('Perso Reloaded'!$L$25=A58,1,0)</f>
        <v>0</v>
      </c>
      <c r="R58">
        <f>IF('Perso Reloaded'!$L$26=A58,1,0)</f>
        <v>0</v>
      </c>
      <c r="S58">
        <f>IF('Perso Reloaded'!$L$27=A58,1,0)</f>
        <v>0</v>
      </c>
      <c r="T58">
        <f t="shared" si="0"/>
        <v>0</v>
      </c>
      <c r="U58" t="b">
        <f t="shared" si="1"/>
        <v>0</v>
      </c>
    </row>
    <row r="59" spans="1:21" x14ac:dyDescent="0.3">
      <c r="A59" s="65" t="s">
        <v>3399</v>
      </c>
      <c r="B59">
        <f>IF(AtoutsHandicapsMatos!$C$5=A59,1,0)</f>
        <v>0</v>
      </c>
      <c r="C59">
        <f>IF(AtoutsHandicapsMatos!$C$6=A59,1,0)</f>
        <v>0</v>
      </c>
      <c r="D59">
        <f>IF(AtoutsHandicapsMatos!$C$7=A59,1,0)</f>
        <v>0</v>
      </c>
      <c r="E59">
        <f>IF(AtoutsHandicapsMatos!$C$8=A59,1,0)</f>
        <v>0</v>
      </c>
      <c r="F59">
        <f>IF(AtoutsHandicapsMatos!$C$9=A59,1,0)</f>
        <v>0</v>
      </c>
      <c r="G59">
        <f>IF(AtoutsHandicapsMatos!$C$10=A59,1,0)</f>
        <v>0</v>
      </c>
      <c r="H59">
        <f>IF(AtoutsHandicapsMatos!$C$11=A59,1,0)</f>
        <v>0</v>
      </c>
      <c r="I59">
        <f>IF(AtoutsHandicapsMatos!$C$12=A59,1,0)</f>
        <v>0</v>
      </c>
      <c r="J59">
        <f>IF(AtoutsHandicapsMatos!$C$13=A59,1,0)</f>
        <v>0</v>
      </c>
      <c r="K59">
        <f>IF(AtoutsHandicapsMatos!$C$14=A59,1,0)</f>
        <v>0</v>
      </c>
      <c r="L59">
        <f>IF('Perso Reloaded'!$L$20=A59,1,0)</f>
        <v>0</v>
      </c>
      <c r="M59">
        <f>IF('Perso Reloaded'!$L$21=A59,1,0)</f>
        <v>0</v>
      </c>
      <c r="N59">
        <f>IF('Perso Reloaded'!$L$22=A59,1,0)</f>
        <v>0</v>
      </c>
      <c r="O59">
        <f>IF('Perso Reloaded'!$L$23=A59,1,0)</f>
        <v>0</v>
      </c>
      <c r="P59">
        <f>IF('Perso Reloaded'!$L$24=A59,1,0)</f>
        <v>0</v>
      </c>
      <c r="Q59">
        <f>IF('Perso Reloaded'!$L$25=A59,1,0)</f>
        <v>0</v>
      </c>
      <c r="R59">
        <f>IF('Perso Reloaded'!$L$26=A59,1,0)</f>
        <v>0</v>
      </c>
      <c r="S59">
        <f>IF('Perso Reloaded'!$L$27=A59,1,0)</f>
        <v>0</v>
      </c>
      <c r="T59">
        <f t="shared" si="0"/>
        <v>0</v>
      </c>
      <c r="U59" t="b">
        <f t="shared" si="1"/>
        <v>0</v>
      </c>
    </row>
    <row r="60" spans="1:21" x14ac:dyDescent="0.3">
      <c r="A60" s="65" t="s">
        <v>3336</v>
      </c>
      <c r="B60">
        <f>IF(AtoutsHandicapsMatos!$C$5=A60,1,0)</f>
        <v>0</v>
      </c>
      <c r="C60">
        <f>IF(AtoutsHandicapsMatos!$C$6=A60,1,0)</f>
        <v>0</v>
      </c>
      <c r="D60">
        <f>IF(AtoutsHandicapsMatos!$C$7=A60,1,0)</f>
        <v>0</v>
      </c>
      <c r="E60">
        <f>IF(AtoutsHandicapsMatos!$C$8=A60,1,0)</f>
        <v>0</v>
      </c>
      <c r="F60">
        <f>IF(AtoutsHandicapsMatos!$C$9=A60,1,0)</f>
        <v>0</v>
      </c>
      <c r="G60">
        <f>IF(AtoutsHandicapsMatos!$C$10=A60,1,0)</f>
        <v>0</v>
      </c>
      <c r="H60">
        <f>IF(AtoutsHandicapsMatos!$C$11=A60,1,0)</f>
        <v>0</v>
      </c>
      <c r="I60">
        <f>IF(AtoutsHandicapsMatos!$C$12=A60,1,0)</f>
        <v>0</v>
      </c>
      <c r="J60">
        <f>IF(AtoutsHandicapsMatos!$C$13=A60,1,0)</f>
        <v>0</v>
      </c>
      <c r="K60">
        <f>IF(AtoutsHandicapsMatos!$C$14=A60,1,0)</f>
        <v>0</v>
      </c>
      <c r="L60">
        <f>IF('Perso Reloaded'!$L$20=A60,1,0)</f>
        <v>0</v>
      </c>
      <c r="M60">
        <f>IF('Perso Reloaded'!$L$21=A60,1,0)</f>
        <v>0</v>
      </c>
      <c r="N60">
        <f>IF('Perso Reloaded'!$L$22=A60,1,0)</f>
        <v>0</v>
      </c>
      <c r="O60">
        <f>IF('Perso Reloaded'!$L$23=A60,1,0)</f>
        <v>0</v>
      </c>
      <c r="P60">
        <f>IF('Perso Reloaded'!$L$24=A60,1,0)</f>
        <v>0</v>
      </c>
      <c r="Q60">
        <f>IF('Perso Reloaded'!$L$25=A60,1,0)</f>
        <v>0</v>
      </c>
      <c r="R60">
        <f>IF('Perso Reloaded'!$L$26=A60,1,0)</f>
        <v>0</v>
      </c>
      <c r="S60">
        <f>IF('Perso Reloaded'!$L$27=A60,1,0)</f>
        <v>0</v>
      </c>
      <c r="T60">
        <f t="shared" si="0"/>
        <v>0</v>
      </c>
      <c r="U60" t="b">
        <f t="shared" si="1"/>
        <v>0</v>
      </c>
    </row>
    <row r="61" spans="1:21" x14ac:dyDescent="0.3">
      <c r="A61" s="65" t="s">
        <v>4720</v>
      </c>
      <c r="B61">
        <f>IF(AtoutsHandicapsMatos!$C$5=A61,1,0)</f>
        <v>0</v>
      </c>
      <c r="C61">
        <f>IF(AtoutsHandicapsMatos!$C$6=A61,1,0)</f>
        <v>0</v>
      </c>
      <c r="D61">
        <f>IF(AtoutsHandicapsMatos!$C$7=A61,1,0)</f>
        <v>0</v>
      </c>
      <c r="E61">
        <f>IF(AtoutsHandicapsMatos!$C$8=A61,1,0)</f>
        <v>0</v>
      </c>
      <c r="F61">
        <f>IF(AtoutsHandicapsMatos!$C$9=A61,1,0)</f>
        <v>0</v>
      </c>
      <c r="G61">
        <f>IF(AtoutsHandicapsMatos!$C$10=A61,1,0)</f>
        <v>0</v>
      </c>
      <c r="H61">
        <f>IF(AtoutsHandicapsMatos!$C$11=A61,1,0)</f>
        <v>0</v>
      </c>
      <c r="I61">
        <f>IF(AtoutsHandicapsMatos!$C$12=A61,1,0)</f>
        <v>0</v>
      </c>
      <c r="J61">
        <f>IF(AtoutsHandicapsMatos!$C$13=A61,1,0)</f>
        <v>0</v>
      </c>
      <c r="K61">
        <f>IF(AtoutsHandicapsMatos!$C$14=A61,1,0)</f>
        <v>0</v>
      </c>
      <c r="L61">
        <f>IF('Perso Reloaded'!$L$20=A61,1,0)</f>
        <v>0</v>
      </c>
      <c r="M61">
        <f>IF('Perso Reloaded'!$L$21=A61,1,0)</f>
        <v>0</v>
      </c>
      <c r="N61">
        <f>IF('Perso Reloaded'!$L$22=A61,1,0)</f>
        <v>0</v>
      </c>
      <c r="O61">
        <f>IF('Perso Reloaded'!$L$23=A61,1,0)</f>
        <v>0</v>
      </c>
      <c r="P61">
        <f>IF('Perso Reloaded'!$L$24=A61,1,0)</f>
        <v>0</v>
      </c>
      <c r="Q61">
        <f>IF('Perso Reloaded'!$L$25=A61,1,0)</f>
        <v>0</v>
      </c>
      <c r="R61">
        <f>IF('Perso Reloaded'!$L$26=A61,1,0)</f>
        <v>0</v>
      </c>
      <c r="S61">
        <f>IF('Perso Reloaded'!$L$27=A61,1,0)</f>
        <v>0</v>
      </c>
      <c r="T61">
        <f t="shared" si="0"/>
        <v>0</v>
      </c>
      <c r="U61" t="b">
        <f t="shared" si="1"/>
        <v>0</v>
      </c>
    </row>
    <row r="62" spans="1:21" x14ac:dyDescent="0.3">
      <c r="A62" s="65" t="str">
        <f>IF(SexePerso="Féminin","Combative",IF('Perso Reloaded'!$C$6="Féminin","Combative","Combatif"))</f>
        <v>Combatif</v>
      </c>
      <c r="B62">
        <f>IF(AtoutsHandicapsMatos!$C$5=A62,1,0)</f>
        <v>0</v>
      </c>
      <c r="C62">
        <f>IF(AtoutsHandicapsMatos!$C$6=A62,1,0)</f>
        <v>0</v>
      </c>
      <c r="D62">
        <f>IF(AtoutsHandicapsMatos!$C$7=A62,1,0)</f>
        <v>0</v>
      </c>
      <c r="E62">
        <f>IF(AtoutsHandicapsMatos!$C$8=A62,1,0)</f>
        <v>0</v>
      </c>
      <c r="F62">
        <f>IF(AtoutsHandicapsMatos!$C$9=A62,1,0)</f>
        <v>0</v>
      </c>
      <c r="G62">
        <f>IF(AtoutsHandicapsMatos!$C$10=A62,1,0)</f>
        <v>0</v>
      </c>
      <c r="H62">
        <f>IF(AtoutsHandicapsMatos!$C$11=A62,1,0)</f>
        <v>0</v>
      </c>
      <c r="I62">
        <f>IF(AtoutsHandicapsMatos!$C$12=A62,1,0)</f>
        <v>0</v>
      </c>
      <c r="J62">
        <f>IF(AtoutsHandicapsMatos!$C$13=A62,1,0)</f>
        <v>0</v>
      </c>
      <c r="K62">
        <f>IF(AtoutsHandicapsMatos!$C$14=A62,1,0)</f>
        <v>0</v>
      </c>
      <c r="L62">
        <f>IF('Perso Reloaded'!$L$20=A62,1,0)</f>
        <v>0</v>
      </c>
      <c r="M62">
        <f>IF('Perso Reloaded'!$L$21=A62,1,0)</f>
        <v>0</v>
      </c>
      <c r="N62">
        <f>IF('Perso Reloaded'!$L$22=A62,1,0)</f>
        <v>0</v>
      </c>
      <c r="O62">
        <f>IF('Perso Reloaded'!$L$23=A62,1,0)</f>
        <v>0</v>
      </c>
      <c r="P62">
        <f>IF('Perso Reloaded'!$L$24=A62,1,0)</f>
        <v>0</v>
      </c>
      <c r="Q62">
        <f>IF('Perso Reloaded'!$L$25=A62,1,0)</f>
        <v>0</v>
      </c>
      <c r="R62">
        <f>IF('Perso Reloaded'!$L$26=A62,1,0)</f>
        <v>0</v>
      </c>
      <c r="S62">
        <f>IF('Perso Reloaded'!$L$27=A62,1,0)</f>
        <v>0</v>
      </c>
      <c r="T62">
        <f t="shared" si="0"/>
        <v>0</v>
      </c>
      <c r="U62" t="b">
        <f t="shared" si="1"/>
        <v>0</v>
      </c>
    </row>
    <row r="63" spans="1:21" x14ac:dyDescent="0.3">
      <c r="A63" s="65" t="str">
        <f>IF(SexePerso="Féminin","Chasseuse de Monstres",IF('Perso Reloaded'!$C$6="Féminin","Chasseuse de Monstres","Chasseur de Monstres"))</f>
        <v>Chasseur de Monstres</v>
      </c>
      <c r="B63">
        <f>IF(AtoutsHandicapsMatos!$C$5=A63,1,0)</f>
        <v>0</v>
      </c>
      <c r="C63">
        <f>IF(AtoutsHandicapsMatos!$C$6=A63,1,0)</f>
        <v>0</v>
      </c>
      <c r="D63">
        <f>IF(AtoutsHandicapsMatos!$C$7=A63,1,0)</f>
        <v>0</v>
      </c>
      <c r="E63">
        <f>IF(AtoutsHandicapsMatos!$C$8=A63,1,0)</f>
        <v>0</v>
      </c>
      <c r="F63">
        <f>IF(AtoutsHandicapsMatos!$C$9=A63,1,0)</f>
        <v>0</v>
      </c>
      <c r="G63">
        <f>IF(AtoutsHandicapsMatos!$C$10=A63,1,0)</f>
        <v>0</v>
      </c>
      <c r="H63">
        <f>IF(AtoutsHandicapsMatos!$C$11=A63,1,0)</f>
        <v>0</v>
      </c>
      <c r="I63">
        <f>IF(AtoutsHandicapsMatos!$C$12=A63,1,0)</f>
        <v>0</v>
      </c>
      <c r="J63">
        <f>IF(AtoutsHandicapsMatos!$C$13=A63,1,0)</f>
        <v>0</v>
      </c>
      <c r="K63">
        <f>IF(AtoutsHandicapsMatos!$C$14=A63,1,0)</f>
        <v>0</v>
      </c>
      <c r="L63">
        <f>IF('Perso Reloaded'!$L$20=A63,1,0)</f>
        <v>0</v>
      </c>
      <c r="M63">
        <f>IF('Perso Reloaded'!$L$21=A63,1,0)</f>
        <v>0</v>
      </c>
      <c r="N63">
        <f>IF('Perso Reloaded'!$L$22=A63,1,0)</f>
        <v>0</v>
      </c>
      <c r="O63">
        <f>IF('Perso Reloaded'!$L$23=A63,1,0)</f>
        <v>0</v>
      </c>
      <c r="P63">
        <f>IF('Perso Reloaded'!$L$24=A63,1,0)</f>
        <v>0</v>
      </c>
      <c r="Q63">
        <f>IF('Perso Reloaded'!$L$25=A63,1,0)</f>
        <v>0</v>
      </c>
      <c r="R63">
        <f>IF('Perso Reloaded'!$L$26=A63,1,0)</f>
        <v>0</v>
      </c>
      <c r="S63">
        <f>IF('Perso Reloaded'!$L$27=A63,1,0)</f>
        <v>0</v>
      </c>
      <c r="T63">
        <f t="shared" si="0"/>
        <v>0</v>
      </c>
      <c r="U63" t="b">
        <f t="shared" si="1"/>
        <v>0</v>
      </c>
    </row>
    <row r="64" spans="1:21" x14ac:dyDescent="0.3">
      <c r="A64" s="65" t="str">
        <f>IF(SexePerso="Féminin","Choisie/L'élue",IF('Perso Reloaded'!$C$6="Féminin","Choisie/L'élue","Choisi/L'élu"))</f>
        <v>Choisi/L'élu</v>
      </c>
      <c r="B64">
        <f>IF(AtoutsHandicapsMatos!$C$5=A64,1,0)</f>
        <v>0</v>
      </c>
      <c r="C64">
        <f>IF(AtoutsHandicapsMatos!$C$6=A64,1,0)</f>
        <v>0</v>
      </c>
      <c r="D64">
        <f>IF(AtoutsHandicapsMatos!$C$7=A64,1,0)</f>
        <v>0</v>
      </c>
      <c r="E64">
        <f>IF(AtoutsHandicapsMatos!$C$8=A64,1,0)</f>
        <v>0</v>
      </c>
      <c r="F64">
        <f>IF(AtoutsHandicapsMatos!$C$9=A64,1,0)</f>
        <v>0</v>
      </c>
      <c r="G64">
        <f>IF(AtoutsHandicapsMatos!$C$10=A64,1,0)</f>
        <v>0</v>
      </c>
      <c r="H64">
        <f>IF(AtoutsHandicapsMatos!$C$11=A64,1,0)</f>
        <v>0</v>
      </c>
      <c r="I64">
        <f>IF(AtoutsHandicapsMatos!$C$12=A64,1,0)</f>
        <v>0</v>
      </c>
      <c r="J64">
        <f>IF(AtoutsHandicapsMatos!$C$13=A64,1,0)</f>
        <v>0</v>
      </c>
      <c r="K64">
        <f>IF(AtoutsHandicapsMatos!$C$14=A64,1,0)</f>
        <v>0</v>
      </c>
      <c r="L64">
        <f>IF('Perso Reloaded'!$L$20=A64,1,0)</f>
        <v>0</v>
      </c>
      <c r="M64">
        <f>IF('Perso Reloaded'!$L$21=A64,1,0)</f>
        <v>0</v>
      </c>
      <c r="N64">
        <f>IF('Perso Reloaded'!$L$22=A64,1,0)</f>
        <v>0</v>
      </c>
      <c r="O64">
        <f>IF('Perso Reloaded'!$L$23=A64,1,0)</f>
        <v>0</v>
      </c>
      <c r="P64">
        <f>IF('Perso Reloaded'!$L$24=A64,1,0)</f>
        <v>0</v>
      </c>
      <c r="Q64">
        <f>IF('Perso Reloaded'!$L$25=A64,1,0)</f>
        <v>0</v>
      </c>
      <c r="R64">
        <f>IF('Perso Reloaded'!$L$26=A64,1,0)</f>
        <v>0</v>
      </c>
      <c r="S64">
        <f>IF('Perso Reloaded'!$L$27=A64,1,0)</f>
        <v>0</v>
      </c>
      <c r="T64">
        <f t="shared" si="0"/>
        <v>0</v>
      </c>
      <c r="U64" t="b">
        <f t="shared" si="1"/>
        <v>0</v>
      </c>
    </row>
    <row r="65" spans="1:21" x14ac:dyDescent="0.3">
      <c r="A65" s="65" t="s">
        <v>4669</v>
      </c>
      <c r="B65">
        <f>IF(AtoutsHandicapsMatos!$C$5=A65,1,0)</f>
        <v>0</v>
      </c>
      <c r="C65">
        <f>IF(AtoutsHandicapsMatos!$C$6=A65,1,0)</f>
        <v>0</v>
      </c>
      <c r="D65">
        <f>IF(AtoutsHandicapsMatos!$C$7=A65,1,0)</f>
        <v>0</v>
      </c>
      <c r="E65">
        <f>IF(AtoutsHandicapsMatos!$C$8=A65,1,0)</f>
        <v>0</v>
      </c>
      <c r="F65">
        <f>IF(AtoutsHandicapsMatos!$C$9=A65,1,0)</f>
        <v>0</v>
      </c>
      <c r="G65">
        <f>IF(AtoutsHandicapsMatos!$C$10=A65,1,0)</f>
        <v>0</v>
      </c>
      <c r="H65">
        <f>IF(AtoutsHandicapsMatos!$C$11=A65,1,0)</f>
        <v>0</v>
      </c>
      <c r="I65">
        <f>IF(AtoutsHandicapsMatos!$C$12=A65,1,0)</f>
        <v>0</v>
      </c>
      <c r="J65">
        <f>IF(AtoutsHandicapsMatos!$C$13=A65,1,0)</f>
        <v>0</v>
      </c>
      <c r="K65">
        <f>IF(AtoutsHandicapsMatos!$C$14=A65,1,0)</f>
        <v>0</v>
      </c>
      <c r="L65">
        <f>IF('Perso Reloaded'!$L$20=A65,1,0)</f>
        <v>0</v>
      </c>
      <c r="M65">
        <f>IF('Perso Reloaded'!$L$21=A65,1,0)</f>
        <v>0</v>
      </c>
      <c r="N65">
        <f>IF('Perso Reloaded'!$L$22=A65,1,0)</f>
        <v>0</v>
      </c>
      <c r="O65">
        <f>IF('Perso Reloaded'!$L$23=A65,1,0)</f>
        <v>0</v>
      </c>
      <c r="P65">
        <f>IF('Perso Reloaded'!$L$24=A65,1,0)</f>
        <v>0</v>
      </c>
      <c r="Q65">
        <f>IF('Perso Reloaded'!$L$25=A65,1,0)</f>
        <v>0</v>
      </c>
      <c r="R65">
        <f>IF('Perso Reloaded'!$L$26=A65,1,0)</f>
        <v>0</v>
      </c>
      <c r="S65">
        <f>IF('Perso Reloaded'!$L$27=A65,1,0)</f>
        <v>0</v>
      </c>
      <c r="T65">
        <f t="shared" si="0"/>
        <v>0</v>
      </c>
      <c r="U65" t="b">
        <f t="shared" si="1"/>
        <v>0</v>
      </c>
    </row>
    <row r="66" spans="1:21" x14ac:dyDescent="0.3">
      <c r="A66" s="65" t="s">
        <v>1009</v>
      </c>
      <c r="B66">
        <f>IF(AtoutsHandicapsMatos!$C$5=A66,1,0)</f>
        <v>0</v>
      </c>
      <c r="C66">
        <f>IF(AtoutsHandicapsMatos!$C$6=A66,1,0)</f>
        <v>0</v>
      </c>
      <c r="D66">
        <f>IF(AtoutsHandicapsMatos!$C$7=A66,1,0)</f>
        <v>0</v>
      </c>
      <c r="E66">
        <f>IF(AtoutsHandicapsMatos!$C$8=A66,1,0)</f>
        <v>0</v>
      </c>
      <c r="F66">
        <f>IF(AtoutsHandicapsMatos!$C$9=A66,1,0)</f>
        <v>0</v>
      </c>
      <c r="G66">
        <f>IF(AtoutsHandicapsMatos!$C$10=A66,1,0)</f>
        <v>0</v>
      </c>
      <c r="H66">
        <f>IF(AtoutsHandicapsMatos!$C$11=A66,1,0)</f>
        <v>0</v>
      </c>
      <c r="I66">
        <f>IF(AtoutsHandicapsMatos!$C$12=A66,1,0)</f>
        <v>0</v>
      </c>
      <c r="J66">
        <f>IF(AtoutsHandicapsMatos!$C$13=A66,1,0)</f>
        <v>0</v>
      </c>
      <c r="K66">
        <f>IF(AtoutsHandicapsMatos!$C$14=A66,1,0)</f>
        <v>0</v>
      </c>
      <c r="L66">
        <f>IF('Perso Reloaded'!$L$20=A66,1,0)</f>
        <v>0</v>
      </c>
      <c r="M66">
        <f>IF('Perso Reloaded'!$L$21=A66,1,0)</f>
        <v>0</v>
      </c>
      <c r="N66">
        <f>IF('Perso Reloaded'!$L$22=A66,1,0)</f>
        <v>0</v>
      </c>
      <c r="O66">
        <f>IF('Perso Reloaded'!$L$23=A66,1,0)</f>
        <v>0</v>
      </c>
      <c r="P66">
        <f>IF('Perso Reloaded'!$L$24=A66,1,0)</f>
        <v>0</v>
      </c>
      <c r="Q66">
        <f>IF('Perso Reloaded'!$L$25=A66,1,0)</f>
        <v>0</v>
      </c>
      <c r="R66">
        <f>IF('Perso Reloaded'!$L$26=A66,1,0)</f>
        <v>0</v>
      </c>
      <c r="S66">
        <f>IF('Perso Reloaded'!$L$27=A66,1,0)</f>
        <v>0</v>
      </c>
      <c r="T66">
        <f t="shared" ref="T66:T130" si="2">SUM(B66:S66)</f>
        <v>0</v>
      </c>
      <c r="U66" t="b">
        <f t="shared" ref="U66:U130" si="3">IF(T66=0,FALSE,TRUE)</f>
        <v>0</v>
      </c>
    </row>
    <row r="67" spans="1:21" x14ac:dyDescent="0.3">
      <c r="A67" s="65" t="s">
        <v>1010</v>
      </c>
      <c r="B67">
        <f>IF(AtoutsHandicapsMatos!$C$5=A67,1,0)</f>
        <v>0</v>
      </c>
      <c r="C67">
        <f>IF(AtoutsHandicapsMatos!$C$6=A67,1,0)</f>
        <v>0</v>
      </c>
      <c r="D67">
        <f>IF(AtoutsHandicapsMatos!$C$7=A67,1,0)</f>
        <v>0</v>
      </c>
      <c r="E67">
        <f>IF(AtoutsHandicapsMatos!$C$8=A67,1,0)</f>
        <v>0</v>
      </c>
      <c r="F67">
        <f>IF(AtoutsHandicapsMatos!$C$9=A67,1,0)</f>
        <v>0</v>
      </c>
      <c r="G67">
        <f>IF(AtoutsHandicapsMatos!$C$10=A67,1,0)</f>
        <v>0</v>
      </c>
      <c r="H67">
        <f>IF(AtoutsHandicapsMatos!$C$11=A67,1,0)</f>
        <v>0</v>
      </c>
      <c r="I67">
        <f>IF(AtoutsHandicapsMatos!$C$12=A67,1,0)</f>
        <v>0</v>
      </c>
      <c r="J67">
        <f>IF(AtoutsHandicapsMatos!$C$13=A67,1,0)</f>
        <v>0</v>
      </c>
      <c r="K67">
        <f>IF(AtoutsHandicapsMatos!$C$14=A67,1,0)</f>
        <v>0</v>
      </c>
      <c r="L67">
        <f>IF('Perso Reloaded'!$L$20=A67,1,0)</f>
        <v>0</v>
      </c>
      <c r="M67">
        <f>IF('Perso Reloaded'!$L$21=A67,1,0)</f>
        <v>0</v>
      </c>
      <c r="N67">
        <f>IF('Perso Reloaded'!$L$22=A67,1,0)</f>
        <v>0</v>
      </c>
      <c r="O67">
        <f>IF('Perso Reloaded'!$L$23=A67,1,0)</f>
        <v>0</v>
      </c>
      <c r="P67">
        <f>IF('Perso Reloaded'!$L$24=A67,1,0)</f>
        <v>0</v>
      </c>
      <c r="Q67">
        <f>IF('Perso Reloaded'!$L$25=A67,1,0)</f>
        <v>0</v>
      </c>
      <c r="R67">
        <f>IF('Perso Reloaded'!$L$26=A67,1,0)</f>
        <v>0</v>
      </c>
      <c r="S67">
        <f>IF('Perso Reloaded'!$L$27=A67,1,0)</f>
        <v>0</v>
      </c>
      <c r="T67">
        <f t="shared" si="2"/>
        <v>0</v>
      </c>
      <c r="U67" t="b">
        <f t="shared" si="3"/>
        <v>0</v>
      </c>
    </row>
    <row r="68" spans="1:21" x14ac:dyDescent="0.3">
      <c r="A68" s="65" t="s">
        <v>1011</v>
      </c>
      <c r="B68">
        <f>IF(AtoutsHandicapsMatos!$C$5=A68,1,0)</f>
        <v>0</v>
      </c>
      <c r="C68">
        <f>IF(AtoutsHandicapsMatos!$C$6=A68,1,0)</f>
        <v>0</v>
      </c>
      <c r="D68">
        <f>IF(AtoutsHandicapsMatos!$C$7=A68,1,0)</f>
        <v>0</v>
      </c>
      <c r="E68">
        <f>IF(AtoutsHandicapsMatos!$C$8=A68,1,0)</f>
        <v>0</v>
      </c>
      <c r="F68">
        <f>IF(AtoutsHandicapsMatos!$C$9=A68,1,0)</f>
        <v>0</v>
      </c>
      <c r="G68">
        <f>IF(AtoutsHandicapsMatos!$C$10=A68,1,0)</f>
        <v>0</v>
      </c>
      <c r="H68">
        <f>IF(AtoutsHandicapsMatos!$C$11=A68,1,0)</f>
        <v>0</v>
      </c>
      <c r="I68">
        <f>IF(AtoutsHandicapsMatos!$C$12=A68,1,0)</f>
        <v>0</v>
      </c>
      <c r="J68">
        <f>IF(AtoutsHandicapsMatos!$C$13=A68,1,0)</f>
        <v>0</v>
      </c>
      <c r="K68">
        <f>IF(AtoutsHandicapsMatos!$C$14=A68,1,0)</f>
        <v>0</v>
      </c>
      <c r="L68">
        <f>IF('Perso Reloaded'!$L$20=A68,1,0)</f>
        <v>0</v>
      </c>
      <c r="M68">
        <f>IF('Perso Reloaded'!$L$21=A68,1,0)</f>
        <v>0</v>
      </c>
      <c r="N68">
        <f>IF('Perso Reloaded'!$L$22=A68,1,0)</f>
        <v>0</v>
      </c>
      <c r="O68">
        <f>IF('Perso Reloaded'!$L$23=A68,1,0)</f>
        <v>0</v>
      </c>
      <c r="P68">
        <f>IF('Perso Reloaded'!$L$24=A68,1,0)</f>
        <v>0</v>
      </c>
      <c r="Q68">
        <f>IF('Perso Reloaded'!$L$25=A68,1,0)</f>
        <v>0</v>
      </c>
      <c r="R68">
        <f>IF('Perso Reloaded'!$L$26=A68,1,0)</f>
        <v>0</v>
      </c>
      <c r="S68">
        <f>IF('Perso Reloaded'!$L$27=A68,1,0)</f>
        <v>0</v>
      </c>
      <c r="T68">
        <f t="shared" si="2"/>
        <v>0</v>
      </c>
      <c r="U68" t="b">
        <f t="shared" si="3"/>
        <v>0</v>
      </c>
    </row>
    <row r="69" spans="1:21" x14ac:dyDescent="0.3">
      <c r="A69" s="65" t="s">
        <v>1012</v>
      </c>
      <c r="B69">
        <f>IF(AtoutsHandicapsMatos!$C$5=A69,1,0)</f>
        <v>0</v>
      </c>
      <c r="C69">
        <f>IF(AtoutsHandicapsMatos!$C$6=A69,1,0)</f>
        <v>0</v>
      </c>
      <c r="D69">
        <f>IF(AtoutsHandicapsMatos!$C$7=A69,1,0)</f>
        <v>0</v>
      </c>
      <c r="E69">
        <f>IF(AtoutsHandicapsMatos!$C$8=A69,1,0)</f>
        <v>0</v>
      </c>
      <c r="F69">
        <f>IF(AtoutsHandicapsMatos!$C$9=A69,1,0)</f>
        <v>0</v>
      </c>
      <c r="G69">
        <f>IF(AtoutsHandicapsMatos!$C$10=A69,1,0)</f>
        <v>0</v>
      </c>
      <c r="H69">
        <f>IF(AtoutsHandicapsMatos!$C$11=A69,1,0)</f>
        <v>0</v>
      </c>
      <c r="I69">
        <f>IF(AtoutsHandicapsMatos!$C$12=A69,1,0)</f>
        <v>0</v>
      </c>
      <c r="J69">
        <f>IF(AtoutsHandicapsMatos!$C$13=A69,1,0)</f>
        <v>0</v>
      </c>
      <c r="K69">
        <f>IF(AtoutsHandicapsMatos!$C$14=A69,1,0)</f>
        <v>0</v>
      </c>
      <c r="L69">
        <f>IF('Perso Reloaded'!$L$20=A69,1,0)</f>
        <v>0</v>
      </c>
      <c r="M69">
        <f>IF('Perso Reloaded'!$L$21=A69,1,0)</f>
        <v>0</v>
      </c>
      <c r="N69">
        <f>IF('Perso Reloaded'!$L$22=A69,1,0)</f>
        <v>0</v>
      </c>
      <c r="O69">
        <f>IF('Perso Reloaded'!$L$23=A69,1,0)</f>
        <v>0</v>
      </c>
      <c r="P69">
        <f>IF('Perso Reloaded'!$L$24=A69,1,0)</f>
        <v>0</v>
      </c>
      <c r="Q69">
        <f>IF('Perso Reloaded'!$L$25=A69,1,0)</f>
        <v>0</v>
      </c>
      <c r="R69">
        <f>IF('Perso Reloaded'!$L$26=A69,1,0)</f>
        <v>0</v>
      </c>
      <c r="S69">
        <f>IF('Perso Reloaded'!$L$27=A69,1,0)</f>
        <v>0</v>
      </c>
      <c r="T69">
        <f t="shared" si="2"/>
        <v>0</v>
      </c>
      <c r="U69" t="b">
        <f t="shared" si="3"/>
        <v>0</v>
      </c>
    </row>
    <row r="70" spans="1:21" x14ac:dyDescent="0.3">
      <c r="A70" s="65" t="s">
        <v>1013</v>
      </c>
      <c r="B70">
        <f>IF(AtoutsHandicapsMatos!$C$5=A70,1,0)</f>
        <v>0</v>
      </c>
      <c r="C70">
        <f>IF(AtoutsHandicapsMatos!$C$6=A70,1,0)</f>
        <v>0</v>
      </c>
      <c r="D70">
        <f>IF(AtoutsHandicapsMatos!$C$7=A70,1,0)</f>
        <v>0</v>
      </c>
      <c r="E70">
        <f>IF(AtoutsHandicapsMatos!$C$8=A70,1,0)</f>
        <v>0</v>
      </c>
      <c r="F70">
        <f>IF(AtoutsHandicapsMatos!$C$9=A70,1,0)</f>
        <v>0</v>
      </c>
      <c r="G70">
        <f>IF(AtoutsHandicapsMatos!$C$10=A70,1,0)</f>
        <v>0</v>
      </c>
      <c r="H70">
        <f>IF(AtoutsHandicapsMatos!$C$11=A70,1,0)</f>
        <v>0</v>
      </c>
      <c r="I70">
        <f>IF(AtoutsHandicapsMatos!$C$12=A70,1,0)</f>
        <v>0</v>
      </c>
      <c r="J70">
        <f>IF(AtoutsHandicapsMatos!$C$13=A70,1,0)</f>
        <v>0</v>
      </c>
      <c r="K70">
        <f>IF(AtoutsHandicapsMatos!$C$14=A70,1,0)</f>
        <v>0</v>
      </c>
      <c r="L70">
        <f>IF('Perso Reloaded'!$L$20=A70,1,0)</f>
        <v>0</v>
      </c>
      <c r="M70">
        <f>IF('Perso Reloaded'!$L$21=A70,1,0)</f>
        <v>0</v>
      </c>
      <c r="N70">
        <f>IF('Perso Reloaded'!$L$22=A70,1,0)</f>
        <v>0</v>
      </c>
      <c r="O70">
        <f>IF('Perso Reloaded'!$L$23=A70,1,0)</f>
        <v>0</v>
      </c>
      <c r="P70">
        <f>IF('Perso Reloaded'!$L$24=A70,1,0)</f>
        <v>0</v>
      </c>
      <c r="Q70">
        <f>IF('Perso Reloaded'!$L$25=A70,1,0)</f>
        <v>0</v>
      </c>
      <c r="R70">
        <f>IF('Perso Reloaded'!$L$26=A70,1,0)</f>
        <v>0</v>
      </c>
      <c r="S70">
        <f>IF('Perso Reloaded'!$L$27=A70,1,0)</f>
        <v>0</v>
      </c>
      <c r="T70">
        <f t="shared" si="2"/>
        <v>0</v>
      </c>
      <c r="U70" t="b">
        <f t="shared" si="3"/>
        <v>0</v>
      </c>
    </row>
    <row r="71" spans="1:21" x14ac:dyDescent="0.3">
      <c r="A71" s="65" t="s">
        <v>5158</v>
      </c>
      <c r="B71">
        <f>IF(AtoutsHandicapsMatos!$C$5=A71,1,0)</f>
        <v>0</v>
      </c>
      <c r="C71">
        <f>IF(AtoutsHandicapsMatos!$C$6=A71,1,0)</f>
        <v>0</v>
      </c>
      <c r="D71">
        <f>IF(AtoutsHandicapsMatos!$C$7=A71,1,0)</f>
        <v>0</v>
      </c>
      <c r="E71">
        <f>IF(AtoutsHandicapsMatos!$C$8=A71,1,0)</f>
        <v>0</v>
      </c>
      <c r="F71">
        <f>IF(AtoutsHandicapsMatos!$C$9=A71,1,0)</f>
        <v>0</v>
      </c>
      <c r="G71">
        <f>IF(AtoutsHandicapsMatos!$C$10=A71,1,0)</f>
        <v>0</v>
      </c>
      <c r="H71">
        <f>IF(AtoutsHandicapsMatos!$C$11=A71,1,0)</f>
        <v>0</v>
      </c>
      <c r="I71">
        <f>IF(AtoutsHandicapsMatos!$C$12=A71,1,0)</f>
        <v>0</v>
      </c>
      <c r="J71">
        <f>IF(AtoutsHandicapsMatos!$C$13=A71,1,0)</f>
        <v>0</v>
      </c>
      <c r="K71">
        <f>IF(AtoutsHandicapsMatos!$C$14=A71,1,0)</f>
        <v>0</v>
      </c>
      <c r="L71">
        <f>IF('Perso Reloaded'!$L$20=A71,1,0)</f>
        <v>0</v>
      </c>
      <c r="M71">
        <f>IF('Perso Reloaded'!$L$21=A71,1,0)</f>
        <v>0</v>
      </c>
      <c r="N71">
        <f>IF('Perso Reloaded'!$L$22=A71,1,0)</f>
        <v>0</v>
      </c>
      <c r="O71">
        <f>IF('Perso Reloaded'!$L$23=A71,1,0)</f>
        <v>0</v>
      </c>
      <c r="P71">
        <f>IF('Perso Reloaded'!$L$24=A71,1,0)</f>
        <v>0</v>
      </c>
      <c r="Q71">
        <f>IF('Perso Reloaded'!$L$25=A71,1,0)</f>
        <v>0</v>
      </c>
      <c r="R71">
        <f>IF('Perso Reloaded'!$L$26=A71,1,0)</f>
        <v>0</v>
      </c>
      <c r="S71">
        <f>IF('Perso Reloaded'!$L$27=A71,1,0)</f>
        <v>0</v>
      </c>
      <c r="T71">
        <f t="shared" si="2"/>
        <v>0</v>
      </c>
      <c r="U71" t="b">
        <f t="shared" si="3"/>
        <v>0</v>
      </c>
    </row>
    <row r="72" spans="1:21" x14ac:dyDescent="0.3">
      <c r="A72" s="65" t="s">
        <v>265</v>
      </c>
      <c r="B72">
        <f>IF(AtoutsHandicapsMatos!$C$5=A72,1,0)</f>
        <v>0</v>
      </c>
      <c r="C72">
        <f>IF(AtoutsHandicapsMatos!$C$6=A72,1,0)</f>
        <v>0</v>
      </c>
      <c r="D72">
        <f>IF(AtoutsHandicapsMatos!$C$7=A72,1,0)</f>
        <v>0</v>
      </c>
      <c r="E72">
        <f>IF(AtoutsHandicapsMatos!$C$8=A72,1,0)</f>
        <v>0</v>
      </c>
      <c r="F72">
        <f>IF(AtoutsHandicapsMatos!$C$9=A72,1,0)</f>
        <v>0</v>
      </c>
      <c r="G72">
        <f>IF(AtoutsHandicapsMatos!$C$10=A72,1,0)</f>
        <v>0</v>
      </c>
      <c r="H72">
        <f>IF(AtoutsHandicapsMatos!$C$11=A72,1,0)</f>
        <v>0</v>
      </c>
      <c r="I72">
        <f>IF(AtoutsHandicapsMatos!$C$12=A72,1,0)</f>
        <v>0</v>
      </c>
      <c r="J72">
        <f>IF(AtoutsHandicapsMatos!$C$13=A72,1,0)</f>
        <v>0</v>
      </c>
      <c r="K72">
        <f>IF(AtoutsHandicapsMatos!$C$14=A72,1,0)</f>
        <v>0</v>
      </c>
      <c r="L72">
        <f>IF('Perso Reloaded'!$L$20=A72,1,0)</f>
        <v>0</v>
      </c>
      <c r="M72">
        <f>IF('Perso Reloaded'!$L$21=A72,1,0)</f>
        <v>0</v>
      </c>
      <c r="N72">
        <f>IF('Perso Reloaded'!$L$22=A72,1,0)</f>
        <v>0</v>
      </c>
      <c r="O72">
        <f>IF('Perso Reloaded'!$L$23=A72,1,0)</f>
        <v>0</v>
      </c>
      <c r="P72">
        <f>IF('Perso Reloaded'!$L$24=A72,1,0)</f>
        <v>0</v>
      </c>
      <c r="Q72">
        <f>IF('Perso Reloaded'!$L$25=A72,1,0)</f>
        <v>0</v>
      </c>
      <c r="R72">
        <f>IF('Perso Reloaded'!$L$26=A72,1,0)</f>
        <v>0</v>
      </c>
      <c r="S72">
        <f>IF('Perso Reloaded'!$L$27=A72,1,0)</f>
        <v>0</v>
      </c>
      <c r="T72">
        <f t="shared" si="2"/>
        <v>0</v>
      </c>
      <c r="U72" t="b">
        <f t="shared" si="3"/>
        <v>0</v>
      </c>
    </row>
    <row r="73" spans="1:21" x14ac:dyDescent="0.3">
      <c r="A73" s="65" t="s">
        <v>3155</v>
      </c>
      <c r="B73">
        <f>IF(AtoutsHandicapsMatos!$C$5=A73,1,0)</f>
        <v>0</v>
      </c>
      <c r="C73">
        <f>IF(AtoutsHandicapsMatos!$C$6=A73,1,0)</f>
        <v>0</v>
      </c>
      <c r="D73">
        <f>IF(AtoutsHandicapsMatos!$C$7=A73,1,0)</f>
        <v>0</v>
      </c>
      <c r="E73">
        <f>IF(AtoutsHandicapsMatos!$C$8=A73,1,0)</f>
        <v>0</v>
      </c>
      <c r="F73">
        <f>IF(AtoutsHandicapsMatos!$C$9=A73,1,0)</f>
        <v>0</v>
      </c>
      <c r="G73">
        <f>IF(AtoutsHandicapsMatos!$C$10=A73,1,0)</f>
        <v>0</v>
      </c>
      <c r="H73">
        <f>IF(AtoutsHandicapsMatos!$C$11=A73,1,0)</f>
        <v>0</v>
      </c>
      <c r="I73">
        <f>IF(AtoutsHandicapsMatos!$C$12=A73,1,0)</f>
        <v>0</v>
      </c>
      <c r="J73">
        <f>IF(AtoutsHandicapsMatos!$C$13=A73,1,0)</f>
        <v>0</v>
      </c>
      <c r="K73">
        <f>IF(AtoutsHandicapsMatos!$C$14=A73,1,0)</f>
        <v>0</v>
      </c>
      <c r="L73">
        <f>IF('Perso Reloaded'!$L$20=A73,1,0)</f>
        <v>0</v>
      </c>
      <c r="M73">
        <f>IF('Perso Reloaded'!$L$21=A73,1,0)</f>
        <v>0</v>
      </c>
      <c r="N73">
        <f>IF('Perso Reloaded'!$L$22=A73,1,0)</f>
        <v>0</v>
      </c>
      <c r="O73">
        <f>IF('Perso Reloaded'!$L$23=A73,1,0)</f>
        <v>0</v>
      </c>
      <c r="P73">
        <f>IF('Perso Reloaded'!$L$24=A73,1,0)</f>
        <v>0</v>
      </c>
      <c r="Q73">
        <f>IF('Perso Reloaded'!$L$25=A73,1,0)</f>
        <v>0</v>
      </c>
      <c r="R73">
        <f>IF('Perso Reloaded'!$L$26=A73,1,0)</f>
        <v>0</v>
      </c>
      <c r="S73">
        <f>IF('Perso Reloaded'!$L$27=A73,1,0)</f>
        <v>0</v>
      </c>
      <c r="T73">
        <f t="shared" si="2"/>
        <v>0</v>
      </c>
      <c r="U73" t="b">
        <f t="shared" si="3"/>
        <v>0</v>
      </c>
    </row>
    <row r="74" spans="1:21" x14ac:dyDescent="0.3">
      <c r="A74" s="65" t="s">
        <v>5161</v>
      </c>
      <c r="B74">
        <f>IF(AtoutsHandicapsMatos!$C$5=A74,1,0)</f>
        <v>0</v>
      </c>
      <c r="C74">
        <f>IF(AtoutsHandicapsMatos!$C$6=A74,1,0)</f>
        <v>0</v>
      </c>
      <c r="D74">
        <f>IF(AtoutsHandicapsMatos!$C$7=A74,1,0)</f>
        <v>0</v>
      </c>
      <c r="E74">
        <f>IF(AtoutsHandicapsMatos!$C$8=A74,1,0)</f>
        <v>0</v>
      </c>
      <c r="F74">
        <f>IF(AtoutsHandicapsMatos!$C$9=A74,1,0)</f>
        <v>0</v>
      </c>
      <c r="G74">
        <f>IF(AtoutsHandicapsMatos!$C$10=A74,1,0)</f>
        <v>0</v>
      </c>
      <c r="H74">
        <f>IF(AtoutsHandicapsMatos!$C$11=A74,1,0)</f>
        <v>0</v>
      </c>
      <c r="I74">
        <f>IF(AtoutsHandicapsMatos!$C$12=A74,1,0)</f>
        <v>0</v>
      </c>
      <c r="J74">
        <f>IF(AtoutsHandicapsMatos!$C$13=A74,1,0)</f>
        <v>0</v>
      </c>
      <c r="K74">
        <f>IF(AtoutsHandicapsMatos!$C$14=A74,1,0)</f>
        <v>0</v>
      </c>
      <c r="L74">
        <f>IF('Perso Reloaded'!$L$20=A74,1,0)</f>
        <v>0</v>
      </c>
      <c r="M74">
        <f>IF('Perso Reloaded'!$L$21=A74,1,0)</f>
        <v>0</v>
      </c>
      <c r="N74">
        <f>IF('Perso Reloaded'!$L$22=A74,1,0)</f>
        <v>0</v>
      </c>
      <c r="O74">
        <f>IF('Perso Reloaded'!$L$23=A74,1,0)</f>
        <v>0</v>
      </c>
      <c r="P74">
        <f>IF('Perso Reloaded'!$L$24=A74,1,0)</f>
        <v>0</v>
      </c>
      <c r="Q74">
        <f>IF('Perso Reloaded'!$L$25=A74,1,0)</f>
        <v>0</v>
      </c>
      <c r="R74">
        <f>IF('Perso Reloaded'!$L$26=A74,1,0)</f>
        <v>0</v>
      </c>
      <c r="S74">
        <f>IF('Perso Reloaded'!$L$27=A74,1,0)</f>
        <v>0</v>
      </c>
      <c r="T74">
        <f t="shared" si="2"/>
        <v>0</v>
      </c>
      <c r="U74" t="b">
        <f t="shared" si="3"/>
        <v>0</v>
      </c>
    </row>
    <row r="75" spans="1:21" x14ac:dyDescent="0.3">
      <c r="A75" s="65" t="s">
        <v>5162</v>
      </c>
      <c r="B75">
        <f>IF(AtoutsHandicapsMatos!$C$5=A75,1,0)</f>
        <v>0</v>
      </c>
      <c r="C75">
        <f>IF(AtoutsHandicapsMatos!$C$6=A75,1,0)</f>
        <v>0</v>
      </c>
      <c r="D75">
        <f>IF(AtoutsHandicapsMatos!$C$7=A75,1,0)</f>
        <v>0</v>
      </c>
      <c r="E75">
        <f>IF(AtoutsHandicapsMatos!$C$8=A75,1,0)</f>
        <v>0</v>
      </c>
      <c r="F75">
        <f>IF(AtoutsHandicapsMatos!$C$9=A75,1,0)</f>
        <v>0</v>
      </c>
      <c r="G75">
        <f>IF(AtoutsHandicapsMatos!$C$10=A75,1,0)</f>
        <v>0</v>
      </c>
      <c r="H75">
        <f>IF(AtoutsHandicapsMatos!$C$11=A75,1,0)</f>
        <v>0</v>
      </c>
      <c r="I75">
        <f>IF(AtoutsHandicapsMatos!$C$12=A75,1,0)</f>
        <v>0</v>
      </c>
      <c r="J75">
        <f>IF(AtoutsHandicapsMatos!$C$13=A75,1,0)</f>
        <v>0</v>
      </c>
      <c r="K75">
        <f>IF(AtoutsHandicapsMatos!$C$14=A75,1,0)</f>
        <v>0</v>
      </c>
      <c r="L75">
        <f>IF('Perso Reloaded'!$L$20=A75,1,0)</f>
        <v>0</v>
      </c>
      <c r="M75">
        <f>IF('Perso Reloaded'!$L$21=A75,1,0)</f>
        <v>0</v>
      </c>
      <c r="N75">
        <f>IF('Perso Reloaded'!$L$22=A75,1,0)</f>
        <v>0</v>
      </c>
      <c r="O75">
        <f>IF('Perso Reloaded'!$L$23=A75,1,0)</f>
        <v>0</v>
      </c>
      <c r="P75">
        <f>IF('Perso Reloaded'!$L$24=A75,1,0)</f>
        <v>0</v>
      </c>
      <c r="Q75">
        <f>IF('Perso Reloaded'!$L$25=A75,1,0)</f>
        <v>0</v>
      </c>
      <c r="R75">
        <f>IF('Perso Reloaded'!$L$26=A75,1,0)</f>
        <v>0</v>
      </c>
      <c r="S75">
        <f>IF('Perso Reloaded'!$L$27=A75,1,0)</f>
        <v>0</v>
      </c>
      <c r="T75">
        <f t="shared" si="2"/>
        <v>0</v>
      </c>
      <c r="U75" t="b">
        <f t="shared" si="3"/>
        <v>0</v>
      </c>
    </row>
    <row r="76" spans="1:21" x14ac:dyDescent="0.3">
      <c r="A76" s="65" t="str">
        <f>IF(SexePerso="Féminin","Conteuse",IF('Perso Reloaded'!$C$6="Féminin","Conteuse","Conteur"))</f>
        <v>Conteur</v>
      </c>
      <c r="B76">
        <f>IF(AtoutsHandicapsMatos!$C$5=A76,1,0)</f>
        <v>0</v>
      </c>
      <c r="C76">
        <f>IF(AtoutsHandicapsMatos!$C$6=A76,1,0)</f>
        <v>0</v>
      </c>
      <c r="D76">
        <f>IF(AtoutsHandicapsMatos!$C$7=A76,1,0)</f>
        <v>0</v>
      </c>
      <c r="E76">
        <f>IF(AtoutsHandicapsMatos!$C$8=A76,1,0)</f>
        <v>0</v>
      </c>
      <c r="F76">
        <f>IF(AtoutsHandicapsMatos!$C$9=A76,1,0)</f>
        <v>0</v>
      </c>
      <c r="G76">
        <f>IF(AtoutsHandicapsMatos!$C$10=A76,1,0)</f>
        <v>0</v>
      </c>
      <c r="H76">
        <f>IF(AtoutsHandicapsMatos!$C$11=A76,1,0)</f>
        <v>0</v>
      </c>
      <c r="I76">
        <f>IF(AtoutsHandicapsMatos!$C$12=A76,1,0)</f>
        <v>0</v>
      </c>
      <c r="J76">
        <f>IF(AtoutsHandicapsMatos!$C$13=A76,1,0)</f>
        <v>0</v>
      </c>
      <c r="K76">
        <f>IF(AtoutsHandicapsMatos!$C$14=A76,1,0)</f>
        <v>0</v>
      </c>
      <c r="L76">
        <f>IF('Perso Reloaded'!$L$20=A76,1,0)</f>
        <v>0</v>
      </c>
      <c r="M76">
        <f>IF('Perso Reloaded'!$L$21=A76,1,0)</f>
        <v>0</v>
      </c>
      <c r="N76">
        <f>IF('Perso Reloaded'!$L$22=A76,1,0)</f>
        <v>0</v>
      </c>
      <c r="O76">
        <f>IF('Perso Reloaded'!$L$23=A76,1,0)</f>
        <v>0</v>
      </c>
      <c r="P76">
        <f>IF('Perso Reloaded'!$L$24=A76,1,0)</f>
        <v>0</v>
      </c>
      <c r="Q76">
        <f>IF('Perso Reloaded'!$L$25=A76,1,0)</f>
        <v>0</v>
      </c>
      <c r="R76">
        <f>IF('Perso Reloaded'!$L$26=A76,1,0)</f>
        <v>0</v>
      </c>
      <c r="S76">
        <f>IF('Perso Reloaded'!$L$27=A76,1,0)</f>
        <v>0</v>
      </c>
      <c r="T76">
        <f t="shared" si="2"/>
        <v>0</v>
      </c>
      <c r="U76" t="b">
        <f t="shared" si="3"/>
        <v>0</v>
      </c>
    </row>
    <row r="77" spans="1:21" x14ac:dyDescent="0.3">
      <c r="A77" s="65" t="s">
        <v>5163</v>
      </c>
      <c r="B77">
        <f>IF(AtoutsHandicapsMatos!$C$5=A77,1,0)</f>
        <v>0</v>
      </c>
      <c r="C77">
        <f>IF(AtoutsHandicapsMatos!$C$6=A77,1,0)</f>
        <v>0</v>
      </c>
      <c r="D77">
        <f>IF(AtoutsHandicapsMatos!$C$7=A77,1,0)</f>
        <v>0</v>
      </c>
      <c r="E77">
        <f>IF(AtoutsHandicapsMatos!$C$8=A77,1,0)</f>
        <v>0</v>
      </c>
      <c r="F77">
        <f>IF(AtoutsHandicapsMatos!$C$9=A77,1,0)</f>
        <v>0</v>
      </c>
      <c r="G77">
        <f>IF(AtoutsHandicapsMatos!$C$10=A77,1,0)</f>
        <v>0</v>
      </c>
      <c r="H77">
        <f>IF(AtoutsHandicapsMatos!$C$11=A77,1,0)</f>
        <v>0</v>
      </c>
      <c r="I77">
        <f>IF(AtoutsHandicapsMatos!$C$12=A77,1,0)</f>
        <v>0</v>
      </c>
      <c r="J77">
        <f>IF(AtoutsHandicapsMatos!$C$13=A77,1,0)</f>
        <v>0</v>
      </c>
      <c r="K77">
        <f>IF(AtoutsHandicapsMatos!$C$14=A77,1,0)</f>
        <v>0</v>
      </c>
      <c r="L77">
        <f>IF('Perso Reloaded'!$L$20=A77,1,0)</f>
        <v>0</v>
      </c>
      <c r="M77">
        <f>IF('Perso Reloaded'!$L$21=A77,1,0)</f>
        <v>0</v>
      </c>
      <c r="N77">
        <f>IF('Perso Reloaded'!$L$22=A77,1,0)</f>
        <v>0</v>
      </c>
      <c r="O77">
        <f>IF('Perso Reloaded'!$L$23=A77,1,0)</f>
        <v>0</v>
      </c>
      <c r="P77">
        <f>IF('Perso Reloaded'!$L$24=A77,1,0)</f>
        <v>0</v>
      </c>
      <c r="Q77">
        <f>IF('Perso Reloaded'!$L$25=A77,1,0)</f>
        <v>0</v>
      </c>
      <c r="R77">
        <f>IF('Perso Reloaded'!$L$26=A77,1,0)</f>
        <v>0</v>
      </c>
      <c r="S77">
        <f>IF('Perso Reloaded'!$L$27=A77,1,0)</f>
        <v>0</v>
      </c>
      <c r="T77">
        <f t="shared" si="2"/>
        <v>0</v>
      </c>
      <c r="U77" t="b">
        <f t="shared" si="3"/>
        <v>0</v>
      </c>
    </row>
    <row r="78" spans="1:21" x14ac:dyDescent="0.3">
      <c r="A78" s="65" t="s">
        <v>3246</v>
      </c>
      <c r="B78">
        <f>IF(AtoutsHandicapsMatos!$C$5=A78,1,0)</f>
        <v>0</v>
      </c>
      <c r="C78">
        <f>IF(AtoutsHandicapsMatos!$C$6=A78,1,0)</f>
        <v>0</v>
      </c>
      <c r="D78">
        <f>IF(AtoutsHandicapsMatos!$C$7=A78,1,0)</f>
        <v>0</v>
      </c>
      <c r="E78">
        <f>IF(AtoutsHandicapsMatos!$C$8=A78,1,0)</f>
        <v>0</v>
      </c>
      <c r="F78">
        <f>IF(AtoutsHandicapsMatos!$C$9=A78,1,0)</f>
        <v>0</v>
      </c>
      <c r="G78">
        <f>IF(AtoutsHandicapsMatos!$C$10=A78,1,0)</f>
        <v>0</v>
      </c>
      <c r="H78">
        <f>IF(AtoutsHandicapsMatos!$C$11=A78,1,0)</f>
        <v>0</v>
      </c>
      <c r="I78">
        <f>IF(AtoutsHandicapsMatos!$C$12=A78,1,0)</f>
        <v>0</v>
      </c>
      <c r="J78">
        <f>IF(AtoutsHandicapsMatos!$C$13=A78,1,0)</f>
        <v>0</v>
      </c>
      <c r="K78">
        <f>IF(AtoutsHandicapsMatos!$C$14=A78,1,0)</f>
        <v>0</v>
      </c>
      <c r="L78">
        <f>IF('Perso Reloaded'!$L$20=A78,1,0)</f>
        <v>0</v>
      </c>
      <c r="M78">
        <f>IF('Perso Reloaded'!$L$21=A78,1,0)</f>
        <v>0</v>
      </c>
      <c r="N78">
        <f>IF('Perso Reloaded'!$L$22=A78,1,0)</f>
        <v>0</v>
      </c>
      <c r="O78">
        <f>IF('Perso Reloaded'!$L$23=A78,1,0)</f>
        <v>0</v>
      </c>
      <c r="P78">
        <f>IF('Perso Reloaded'!$L$24=A78,1,0)</f>
        <v>0</v>
      </c>
      <c r="Q78">
        <f>IF('Perso Reloaded'!$L$25=A78,1,0)</f>
        <v>0</v>
      </c>
      <c r="R78">
        <f>IF('Perso Reloaded'!$L$26=A78,1,0)</f>
        <v>0</v>
      </c>
      <c r="S78">
        <f>IF('Perso Reloaded'!$L$27=A78,1,0)</f>
        <v>0</v>
      </c>
      <c r="T78">
        <f t="shared" si="2"/>
        <v>0</v>
      </c>
      <c r="U78" t="b">
        <f t="shared" si="3"/>
        <v>0</v>
      </c>
    </row>
    <row r="79" spans="1:21" x14ac:dyDescent="0.3">
      <c r="A79" s="65" t="s">
        <v>3247</v>
      </c>
      <c r="B79">
        <f>IF(AtoutsHandicapsMatos!$C$5=A79,1,0)</f>
        <v>0</v>
      </c>
      <c r="C79">
        <f>IF(AtoutsHandicapsMatos!$C$6=A79,1,0)</f>
        <v>0</v>
      </c>
      <c r="D79">
        <f>IF(AtoutsHandicapsMatos!$C$7=A79,1,0)</f>
        <v>0</v>
      </c>
      <c r="E79">
        <f>IF(AtoutsHandicapsMatos!$C$8=A79,1,0)</f>
        <v>0</v>
      </c>
      <c r="F79">
        <f>IF(AtoutsHandicapsMatos!$C$9=A79,1,0)</f>
        <v>0</v>
      </c>
      <c r="G79">
        <f>IF(AtoutsHandicapsMatos!$C$10=A79,1,0)</f>
        <v>0</v>
      </c>
      <c r="H79">
        <f>IF(AtoutsHandicapsMatos!$C$11=A79,1,0)</f>
        <v>0</v>
      </c>
      <c r="I79">
        <f>IF(AtoutsHandicapsMatos!$C$12=A79,1,0)</f>
        <v>0</v>
      </c>
      <c r="J79">
        <f>IF(AtoutsHandicapsMatos!$C$13=A79,1,0)</f>
        <v>0</v>
      </c>
      <c r="K79">
        <f>IF(AtoutsHandicapsMatos!$C$14=A79,1,0)</f>
        <v>0</v>
      </c>
      <c r="L79">
        <f>IF('Perso Reloaded'!$L$20=A79,1,0)</f>
        <v>0</v>
      </c>
      <c r="M79">
        <f>IF('Perso Reloaded'!$L$21=A79,1,0)</f>
        <v>0</v>
      </c>
      <c r="N79">
        <f>IF('Perso Reloaded'!$L$22=A79,1,0)</f>
        <v>0</v>
      </c>
      <c r="O79">
        <f>IF('Perso Reloaded'!$L$23=A79,1,0)</f>
        <v>0</v>
      </c>
      <c r="P79">
        <f>IF('Perso Reloaded'!$L$24=A79,1,0)</f>
        <v>0</v>
      </c>
      <c r="Q79">
        <f>IF('Perso Reloaded'!$L$25=A79,1,0)</f>
        <v>0</v>
      </c>
      <c r="R79">
        <f>IF('Perso Reloaded'!$L$26=A79,1,0)</f>
        <v>0</v>
      </c>
      <c r="S79">
        <f>IF('Perso Reloaded'!$L$27=A79,1,0)</f>
        <v>0</v>
      </c>
      <c r="T79">
        <f t="shared" si="2"/>
        <v>0</v>
      </c>
      <c r="U79" t="b">
        <f t="shared" si="3"/>
        <v>0</v>
      </c>
    </row>
    <row r="80" spans="1:21" x14ac:dyDescent="0.3">
      <c r="A80" s="65" t="str">
        <f>IF(SexePerso="Féminin","Convertie",IF('Perso Reloaded'!$C$6="Féminin","Convertie","Converti"))</f>
        <v>Converti</v>
      </c>
      <c r="B80">
        <f>IF(AtoutsHandicapsMatos!$C$5=A80,1,0)</f>
        <v>0</v>
      </c>
      <c r="C80">
        <f>IF(AtoutsHandicapsMatos!$C$6=A80,1,0)</f>
        <v>0</v>
      </c>
      <c r="D80">
        <f>IF(AtoutsHandicapsMatos!$C$7=A80,1,0)</f>
        <v>0</v>
      </c>
      <c r="E80">
        <f>IF(AtoutsHandicapsMatos!$C$8=A80,1,0)</f>
        <v>0</v>
      </c>
      <c r="F80">
        <f>IF(AtoutsHandicapsMatos!$C$9=A80,1,0)</f>
        <v>0</v>
      </c>
      <c r="G80">
        <f>IF(AtoutsHandicapsMatos!$C$10=A80,1,0)</f>
        <v>0</v>
      </c>
      <c r="H80">
        <f>IF(AtoutsHandicapsMatos!$C$11=A80,1,0)</f>
        <v>0</v>
      </c>
      <c r="I80">
        <f>IF(AtoutsHandicapsMatos!$C$12=A80,1,0)</f>
        <v>0</v>
      </c>
      <c r="J80">
        <f>IF(AtoutsHandicapsMatos!$C$13=A80,1,0)</f>
        <v>0</v>
      </c>
      <c r="K80">
        <f>IF(AtoutsHandicapsMatos!$C$14=A80,1,0)</f>
        <v>0</v>
      </c>
      <c r="L80">
        <f>IF('Perso Reloaded'!$L$20=A80,1,0)</f>
        <v>0</v>
      </c>
      <c r="M80">
        <f>IF('Perso Reloaded'!$L$21=A80,1,0)</f>
        <v>0</v>
      </c>
      <c r="N80">
        <f>IF('Perso Reloaded'!$L$22=A80,1,0)</f>
        <v>0</v>
      </c>
      <c r="O80">
        <f>IF('Perso Reloaded'!$L$23=A80,1,0)</f>
        <v>0</v>
      </c>
      <c r="P80">
        <f>IF('Perso Reloaded'!$L$24=A80,1,0)</f>
        <v>0</v>
      </c>
      <c r="Q80">
        <f>IF('Perso Reloaded'!$L$25=A80,1,0)</f>
        <v>0</v>
      </c>
      <c r="R80">
        <f>IF('Perso Reloaded'!$L$26=A80,1,0)</f>
        <v>0</v>
      </c>
      <c r="S80">
        <f>IF('Perso Reloaded'!$L$27=A80,1,0)</f>
        <v>0</v>
      </c>
      <c r="T80">
        <f t="shared" si="2"/>
        <v>0</v>
      </c>
      <c r="U80" t="b">
        <f t="shared" si="3"/>
        <v>0</v>
      </c>
    </row>
    <row r="81" spans="1:21" x14ac:dyDescent="0.3">
      <c r="A81" s="65" t="s">
        <v>3371</v>
      </c>
      <c r="B81">
        <f>IF(AtoutsHandicapsMatos!$C$5=A81,1,0)</f>
        <v>0</v>
      </c>
      <c r="C81">
        <f>IF(AtoutsHandicapsMatos!$C$6=A81,1,0)</f>
        <v>0</v>
      </c>
      <c r="D81">
        <f>IF(AtoutsHandicapsMatos!$C$7=A81,1,0)</f>
        <v>0</v>
      </c>
      <c r="E81">
        <f>IF(AtoutsHandicapsMatos!$C$8=A81,1,0)</f>
        <v>0</v>
      </c>
      <c r="F81">
        <f>IF(AtoutsHandicapsMatos!$C$9=A81,1,0)</f>
        <v>0</v>
      </c>
      <c r="G81">
        <f>IF(AtoutsHandicapsMatos!$C$10=A81,1,0)</f>
        <v>0</v>
      </c>
      <c r="H81">
        <f>IF(AtoutsHandicapsMatos!$C$11=A81,1,0)</f>
        <v>0</v>
      </c>
      <c r="I81">
        <f>IF(AtoutsHandicapsMatos!$C$12=A81,1,0)</f>
        <v>0</v>
      </c>
      <c r="J81">
        <f>IF(AtoutsHandicapsMatos!$C$13=A81,1,0)</f>
        <v>0</v>
      </c>
      <c r="K81">
        <f>IF(AtoutsHandicapsMatos!$C$14=A81,1,0)</f>
        <v>0</v>
      </c>
      <c r="L81">
        <f>IF('Perso Reloaded'!$L$20=A81,1,0)</f>
        <v>0</v>
      </c>
      <c r="M81">
        <f>IF('Perso Reloaded'!$L$21=A81,1,0)</f>
        <v>0</v>
      </c>
      <c r="N81">
        <f>IF('Perso Reloaded'!$L$22=A81,1,0)</f>
        <v>0</v>
      </c>
      <c r="O81">
        <f>IF('Perso Reloaded'!$L$23=A81,1,0)</f>
        <v>0</v>
      </c>
      <c r="P81">
        <f>IF('Perso Reloaded'!$L$24=A81,1,0)</f>
        <v>0</v>
      </c>
      <c r="Q81">
        <f>IF('Perso Reloaded'!$L$25=A81,1,0)</f>
        <v>0</v>
      </c>
      <c r="R81">
        <f>IF('Perso Reloaded'!$L$26=A81,1,0)</f>
        <v>0</v>
      </c>
      <c r="S81">
        <f>IF('Perso Reloaded'!$L$27=A81,1,0)</f>
        <v>0</v>
      </c>
      <c r="T81">
        <f t="shared" si="2"/>
        <v>0</v>
      </c>
      <c r="U81" t="b">
        <f t="shared" si="3"/>
        <v>0</v>
      </c>
    </row>
    <row r="82" spans="1:21" x14ac:dyDescent="0.3">
      <c r="A82" s="65" t="s">
        <v>3359</v>
      </c>
      <c r="B82">
        <f>IF(AtoutsHandicapsMatos!$C$5=A82,1,0)</f>
        <v>0</v>
      </c>
      <c r="C82">
        <f>IF(AtoutsHandicapsMatos!$C$6=A82,1,0)</f>
        <v>0</v>
      </c>
      <c r="D82">
        <f>IF(AtoutsHandicapsMatos!$C$7=A82,1,0)</f>
        <v>0</v>
      </c>
      <c r="E82">
        <f>IF(AtoutsHandicapsMatos!$C$8=A82,1,0)</f>
        <v>0</v>
      </c>
      <c r="F82">
        <f>IF(AtoutsHandicapsMatos!$C$9=A82,1,0)</f>
        <v>0</v>
      </c>
      <c r="G82">
        <f>IF(AtoutsHandicapsMatos!$C$10=A82,1,0)</f>
        <v>0</v>
      </c>
      <c r="H82">
        <f>IF(AtoutsHandicapsMatos!$C$11=A82,1,0)</f>
        <v>0</v>
      </c>
      <c r="I82">
        <f>IF(AtoutsHandicapsMatos!$C$12=A82,1,0)</f>
        <v>0</v>
      </c>
      <c r="J82">
        <f>IF(AtoutsHandicapsMatos!$C$13=A82,1,0)</f>
        <v>0</v>
      </c>
      <c r="K82">
        <f>IF(AtoutsHandicapsMatos!$C$14=A82,1,0)</f>
        <v>0</v>
      </c>
      <c r="L82">
        <f>IF('Perso Reloaded'!$L$20=A82,1,0)</f>
        <v>0</v>
      </c>
      <c r="M82">
        <f>IF('Perso Reloaded'!$L$21=A82,1,0)</f>
        <v>0</v>
      </c>
      <c r="N82">
        <f>IF('Perso Reloaded'!$L$22=A82,1,0)</f>
        <v>0</v>
      </c>
      <c r="O82">
        <f>IF('Perso Reloaded'!$L$23=A82,1,0)</f>
        <v>0</v>
      </c>
      <c r="P82">
        <f>IF('Perso Reloaded'!$L$24=A82,1,0)</f>
        <v>0</v>
      </c>
      <c r="Q82">
        <f>IF('Perso Reloaded'!$L$25=A82,1,0)</f>
        <v>0</v>
      </c>
      <c r="R82">
        <f>IF('Perso Reloaded'!$L$26=A82,1,0)</f>
        <v>0</v>
      </c>
      <c r="S82">
        <f>IF('Perso Reloaded'!$L$27=A82,1,0)</f>
        <v>0</v>
      </c>
      <c r="T82">
        <f t="shared" si="2"/>
        <v>0</v>
      </c>
      <c r="U82" t="b">
        <f t="shared" si="3"/>
        <v>0</v>
      </c>
    </row>
    <row r="83" spans="1:21" x14ac:dyDescent="0.3">
      <c r="A83" s="65" t="s">
        <v>2446</v>
      </c>
      <c r="B83">
        <f>IF(AtoutsHandicapsMatos!$C$5=A83,1,0)</f>
        <v>0</v>
      </c>
      <c r="C83">
        <f>IF(AtoutsHandicapsMatos!$C$6=A83,1,0)</f>
        <v>0</v>
      </c>
      <c r="D83">
        <f>IF(AtoutsHandicapsMatos!$C$7=A83,1,0)</f>
        <v>0</v>
      </c>
      <c r="E83">
        <f>IF(AtoutsHandicapsMatos!$C$8=A83,1,0)</f>
        <v>0</v>
      </c>
      <c r="F83">
        <f>IF(AtoutsHandicapsMatos!$C$9=A83,1,0)</f>
        <v>0</v>
      </c>
      <c r="G83">
        <f>IF(AtoutsHandicapsMatos!$C$10=A83,1,0)</f>
        <v>0</v>
      </c>
      <c r="H83">
        <f>IF(AtoutsHandicapsMatos!$C$11=A83,1,0)</f>
        <v>0</v>
      </c>
      <c r="I83">
        <f>IF(AtoutsHandicapsMatos!$C$12=A83,1,0)</f>
        <v>0</v>
      </c>
      <c r="J83">
        <f>IF(AtoutsHandicapsMatos!$C$13=A83,1,0)</f>
        <v>0</v>
      </c>
      <c r="K83">
        <f>IF(AtoutsHandicapsMatos!$C$14=A83,1,0)</f>
        <v>0</v>
      </c>
      <c r="L83">
        <f>IF('Perso Reloaded'!$L$20=A83,1,0)</f>
        <v>0</v>
      </c>
      <c r="M83">
        <f>IF('Perso Reloaded'!$L$21=A83,1,0)</f>
        <v>0</v>
      </c>
      <c r="N83">
        <f>IF('Perso Reloaded'!$L$22=A83,1,0)</f>
        <v>0</v>
      </c>
      <c r="O83">
        <f>IF('Perso Reloaded'!$L$23=A83,1,0)</f>
        <v>0</v>
      </c>
      <c r="P83">
        <f>IF('Perso Reloaded'!$L$24=A83,1,0)</f>
        <v>0</v>
      </c>
      <c r="Q83">
        <f>IF('Perso Reloaded'!$L$25=A83,1,0)</f>
        <v>0</v>
      </c>
      <c r="R83">
        <f>IF('Perso Reloaded'!$L$26=A83,1,0)</f>
        <v>0</v>
      </c>
      <c r="S83">
        <f>IF('Perso Reloaded'!$L$27=A83,1,0)</f>
        <v>0</v>
      </c>
      <c r="T83">
        <f t="shared" si="2"/>
        <v>0</v>
      </c>
      <c r="U83" t="b">
        <f t="shared" si="3"/>
        <v>0</v>
      </c>
    </row>
    <row r="84" spans="1:21" x14ac:dyDescent="0.3">
      <c r="A84" s="65" t="s">
        <v>3234</v>
      </c>
      <c r="B84">
        <f>IF(AtoutsHandicapsMatos!$C$5=A84,1,0)</f>
        <v>0</v>
      </c>
      <c r="C84">
        <f>IF(AtoutsHandicapsMatos!$C$6=A84,1,0)</f>
        <v>0</v>
      </c>
      <c r="D84">
        <f>IF(AtoutsHandicapsMatos!$C$7=A84,1,0)</f>
        <v>0</v>
      </c>
      <c r="E84">
        <f>IF(AtoutsHandicapsMatos!$C$8=A84,1,0)</f>
        <v>0</v>
      </c>
      <c r="F84">
        <f>IF(AtoutsHandicapsMatos!$C$9=A84,1,0)</f>
        <v>0</v>
      </c>
      <c r="G84">
        <f>IF(AtoutsHandicapsMatos!$C$10=A84,1,0)</f>
        <v>0</v>
      </c>
      <c r="H84">
        <f>IF(AtoutsHandicapsMatos!$C$11=A84,1,0)</f>
        <v>0</v>
      </c>
      <c r="I84">
        <f>IF(AtoutsHandicapsMatos!$C$12=A84,1,0)</f>
        <v>0</v>
      </c>
      <c r="J84">
        <f>IF(AtoutsHandicapsMatos!$C$13=A84,1,0)</f>
        <v>0</v>
      </c>
      <c r="K84">
        <f>IF(AtoutsHandicapsMatos!$C$14=A84,1,0)</f>
        <v>0</v>
      </c>
      <c r="L84">
        <f>IF('Perso Reloaded'!$L$20=A84,1,0)</f>
        <v>0</v>
      </c>
      <c r="M84">
        <f>IF('Perso Reloaded'!$L$21=A84,1,0)</f>
        <v>0</v>
      </c>
      <c r="N84">
        <f>IF('Perso Reloaded'!$L$22=A84,1,0)</f>
        <v>0</v>
      </c>
      <c r="O84">
        <f>IF('Perso Reloaded'!$L$23=A84,1,0)</f>
        <v>0</v>
      </c>
      <c r="P84">
        <f>IF('Perso Reloaded'!$L$24=A84,1,0)</f>
        <v>0</v>
      </c>
      <c r="Q84">
        <f>IF('Perso Reloaded'!$L$25=A84,1,0)</f>
        <v>0</v>
      </c>
      <c r="R84">
        <f>IF('Perso Reloaded'!$L$26=A84,1,0)</f>
        <v>0</v>
      </c>
      <c r="S84">
        <f>IF('Perso Reloaded'!$L$27=A84,1,0)</f>
        <v>0</v>
      </c>
      <c r="T84">
        <f t="shared" si="2"/>
        <v>0</v>
      </c>
      <c r="U84" t="b">
        <f t="shared" si="3"/>
        <v>0</v>
      </c>
    </row>
    <row r="85" spans="1:21" x14ac:dyDescent="0.3">
      <c r="A85" s="65" t="s">
        <v>3236</v>
      </c>
      <c r="B85">
        <f>IF(AtoutsHandicapsMatos!$C$5=A85,1,0)</f>
        <v>0</v>
      </c>
      <c r="C85">
        <f>IF(AtoutsHandicapsMatos!$C$6=A85,1,0)</f>
        <v>0</v>
      </c>
      <c r="D85">
        <f>IF(AtoutsHandicapsMatos!$C$7=A85,1,0)</f>
        <v>0</v>
      </c>
      <c r="E85">
        <f>IF(AtoutsHandicapsMatos!$C$8=A85,1,0)</f>
        <v>0</v>
      </c>
      <c r="F85">
        <f>IF(AtoutsHandicapsMatos!$C$9=A85,1,0)</f>
        <v>0</v>
      </c>
      <c r="G85">
        <f>IF(AtoutsHandicapsMatos!$C$10=A85,1,0)</f>
        <v>0</v>
      </c>
      <c r="H85">
        <f>IF(AtoutsHandicapsMatos!$C$11=A85,1,0)</f>
        <v>0</v>
      </c>
      <c r="I85">
        <f>IF(AtoutsHandicapsMatos!$C$12=A85,1,0)</f>
        <v>0</v>
      </c>
      <c r="J85">
        <f>IF(AtoutsHandicapsMatos!$C$13=A85,1,0)</f>
        <v>0</v>
      </c>
      <c r="K85">
        <f>IF(AtoutsHandicapsMatos!$C$14=A85,1,0)</f>
        <v>0</v>
      </c>
      <c r="L85">
        <f>IF('Perso Reloaded'!$L$20=A85,1,0)</f>
        <v>0</v>
      </c>
      <c r="M85">
        <f>IF('Perso Reloaded'!$L$21=A85,1,0)</f>
        <v>0</v>
      </c>
      <c r="N85">
        <f>IF('Perso Reloaded'!$L$22=A85,1,0)</f>
        <v>0</v>
      </c>
      <c r="O85">
        <f>IF('Perso Reloaded'!$L$23=A85,1,0)</f>
        <v>0</v>
      </c>
      <c r="P85">
        <f>IF('Perso Reloaded'!$L$24=A85,1,0)</f>
        <v>0</v>
      </c>
      <c r="Q85">
        <f>IF('Perso Reloaded'!$L$25=A85,1,0)</f>
        <v>0</v>
      </c>
      <c r="R85">
        <f>IF('Perso Reloaded'!$L$26=A85,1,0)</f>
        <v>0</v>
      </c>
      <c r="S85">
        <f>IF('Perso Reloaded'!$L$27=A85,1,0)</f>
        <v>0</v>
      </c>
      <c r="T85">
        <f t="shared" si="2"/>
        <v>0</v>
      </c>
      <c r="U85" t="b">
        <f t="shared" si="3"/>
        <v>0</v>
      </c>
    </row>
    <row r="86" spans="1:21" x14ac:dyDescent="0.3">
      <c r="A86" s="65" t="s">
        <v>3235</v>
      </c>
      <c r="B86">
        <f>IF(AtoutsHandicapsMatos!$C$5=A86,1,0)</f>
        <v>0</v>
      </c>
      <c r="C86">
        <f>IF(AtoutsHandicapsMatos!$C$6=A86,1,0)</f>
        <v>0</v>
      </c>
      <c r="D86">
        <f>IF(AtoutsHandicapsMatos!$C$7=A86,1,0)</f>
        <v>0</v>
      </c>
      <c r="E86">
        <f>IF(AtoutsHandicapsMatos!$C$8=A86,1,0)</f>
        <v>0</v>
      </c>
      <c r="F86">
        <f>IF(AtoutsHandicapsMatos!$C$9=A86,1,0)</f>
        <v>0</v>
      </c>
      <c r="G86">
        <f>IF(AtoutsHandicapsMatos!$C$10=A86,1,0)</f>
        <v>0</v>
      </c>
      <c r="H86">
        <f>IF(AtoutsHandicapsMatos!$C$11=A86,1,0)</f>
        <v>0</v>
      </c>
      <c r="I86">
        <f>IF(AtoutsHandicapsMatos!$C$12=A86,1,0)</f>
        <v>0</v>
      </c>
      <c r="J86">
        <f>IF(AtoutsHandicapsMatos!$C$13=A86,1,0)</f>
        <v>0</v>
      </c>
      <c r="K86">
        <f>IF(AtoutsHandicapsMatos!$C$14=A86,1,0)</f>
        <v>0</v>
      </c>
      <c r="L86">
        <f>IF('Perso Reloaded'!$L$20=A86,1,0)</f>
        <v>0</v>
      </c>
      <c r="M86">
        <f>IF('Perso Reloaded'!$L$21=A86,1,0)</f>
        <v>0</v>
      </c>
      <c r="N86">
        <f>IF('Perso Reloaded'!$L$22=A86,1,0)</f>
        <v>0</v>
      </c>
      <c r="O86">
        <f>IF('Perso Reloaded'!$L$23=A86,1,0)</f>
        <v>0</v>
      </c>
      <c r="P86">
        <f>IF('Perso Reloaded'!$L$24=A86,1,0)</f>
        <v>0</v>
      </c>
      <c r="Q86">
        <f>IF('Perso Reloaded'!$L$25=A86,1,0)</f>
        <v>0</v>
      </c>
      <c r="R86">
        <f>IF('Perso Reloaded'!$L$26=A86,1,0)</f>
        <v>0</v>
      </c>
      <c r="S86">
        <f>IF('Perso Reloaded'!$L$27=A86,1,0)</f>
        <v>0</v>
      </c>
      <c r="T86">
        <f t="shared" si="2"/>
        <v>0</v>
      </c>
      <c r="U86" t="b">
        <f t="shared" si="3"/>
        <v>0</v>
      </c>
    </row>
    <row r="87" spans="1:21" x14ac:dyDescent="0.3">
      <c r="A87" s="65" t="s">
        <v>3237</v>
      </c>
      <c r="B87">
        <f>IF(AtoutsHandicapsMatos!$C$5=A87,1,0)</f>
        <v>0</v>
      </c>
      <c r="C87">
        <f>IF(AtoutsHandicapsMatos!$C$6=A87,1,0)</f>
        <v>0</v>
      </c>
      <c r="D87">
        <f>IF(AtoutsHandicapsMatos!$C$7=A87,1,0)</f>
        <v>0</v>
      </c>
      <c r="E87">
        <f>IF(AtoutsHandicapsMatos!$C$8=A87,1,0)</f>
        <v>0</v>
      </c>
      <c r="F87">
        <f>IF(AtoutsHandicapsMatos!$C$9=A87,1,0)</f>
        <v>0</v>
      </c>
      <c r="G87">
        <f>IF(AtoutsHandicapsMatos!$C$10=A87,1,0)</f>
        <v>0</v>
      </c>
      <c r="H87">
        <f>IF(AtoutsHandicapsMatos!$C$11=A87,1,0)</f>
        <v>0</v>
      </c>
      <c r="I87">
        <f>IF(AtoutsHandicapsMatos!$C$12=A87,1,0)</f>
        <v>0</v>
      </c>
      <c r="J87">
        <f>IF(AtoutsHandicapsMatos!$C$13=A87,1,0)</f>
        <v>0</v>
      </c>
      <c r="K87">
        <f>IF(AtoutsHandicapsMatos!$C$14=A87,1,0)</f>
        <v>0</v>
      </c>
      <c r="L87">
        <f>IF('Perso Reloaded'!$L$20=A87,1,0)</f>
        <v>0</v>
      </c>
      <c r="M87">
        <f>IF('Perso Reloaded'!$L$21=A87,1,0)</f>
        <v>0</v>
      </c>
      <c r="N87">
        <f>IF('Perso Reloaded'!$L$22=A87,1,0)</f>
        <v>0</v>
      </c>
      <c r="O87">
        <f>IF('Perso Reloaded'!$L$23=A87,1,0)</f>
        <v>0</v>
      </c>
      <c r="P87">
        <f>IF('Perso Reloaded'!$L$24=A87,1,0)</f>
        <v>0</v>
      </c>
      <c r="Q87">
        <f>IF('Perso Reloaded'!$L$25=A87,1,0)</f>
        <v>0</v>
      </c>
      <c r="R87">
        <f>IF('Perso Reloaded'!$L$26=A87,1,0)</f>
        <v>0</v>
      </c>
      <c r="S87">
        <f>IF('Perso Reloaded'!$L$27=A87,1,0)</f>
        <v>0</v>
      </c>
      <c r="T87">
        <f t="shared" si="2"/>
        <v>0</v>
      </c>
      <c r="U87" t="b">
        <f t="shared" si="3"/>
        <v>0</v>
      </c>
    </row>
    <row r="88" spans="1:21" x14ac:dyDescent="0.3">
      <c r="A88" s="65" t="s">
        <v>3354</v>
      </c>
      <c r="B88">
        <f>IF(AtoutsHandicapsMatos!$C$5=A88,1,0)</f>
        <v>0</v>
      </c>
      <c r="C88">
        <f>IF(AtoutsHandicapsMatos!$C$6=A88,1,0)</f>
        <v>0</v>
      </c>
      <c r="D88">
        <f>IF(AtoutsHandicapsMatos!$C$7=A88,1,0)</f>
        <v>0</v>
      </c>
      <c r="E88">
        <f>IF(AtoutsHandicapsMatos!$C$8=A88,1,0)</f>
        <v>0</v>
      </c>
      <c r="F88">
        <f>IF(AtoutsHandicapsMatos!$C$9=A88,1,0)</f>
        <v>0</v>
      </c>
      <c r="G88">
        <f>IF(AtoutsHandicapsMatos!$C$10=A88,1,0)</f>
        <v>0</v>
      </c>
      <c r="H88">
        <f>IF(AtoutsHandicapsMatos!$C$11=A88,1,0)</f>
        <v>0</v>
      </c>
      <c r="I88">
        <f>IF(AtoutsHandicapsMatos!$C$12=A88,1,0)</f>
        <v>0</v>
      </c>
      <c r="J88">
        <f>IF(AtoutsHandicapsMatos!$C$13=A88,1,0)</f>
        <v>0</v>
      </c>
      <c r="K88">
        <f>IF(AtoutsHandicapsMatos!$C$14=A88,1,0)</f>
        <v>0</v>
      </c>
      <c r="L88">
        <f>IF('Perso Reloaded'!$L$20=A88,1,0)</f>
        <v>0</v>
      </c>
      <c r="M88">
        <f>IF('Perso Reloaded'!$L$21=A88,1,0)</f>
        <v>0</v>
      </c>
      <c r="N88">
        <f>IF('Perso Reloaded'!$L$22=A88,1,0)</f>
        <v>0</v>
      </c>
      <c r="O88">
        <f>IF('Perso Reloaded'!$L$23=A88,1,0)</f>
        <v>0</v>
      </c>
      <c r="P88">
        <f>IF('Perso Reloaded'!$L$24=A88,1,0)</f>
        <v>0</v>
      </c>
      <c r="Q88">
        <f>IF('Perso Reloaded'!$L$25=A88,1,0)</f>
        <v>0</v>
      </c>
      <c r="R88">
        <f>IF('Perso Reloaded'!$L$26=A88,1,0)</f>
        <v>0</v>
      </c>
      <c r="S88">
        <f>IF('Perso Reloaded'!$L$27=A88,1,0)</f>
        <v>0</v>
      </c>
      <c r="T88">
        <f t="shared" si="2"/>
        <v>0</v>
      </c>
      <c r="U88" t="b">
        <f t="shared" si="3"/>
        <v>0</v>
      </c>
    </row>
    <row r="89" spans="1:21" x14ac:dyDescent="0.3">
      <c r="A89" s="65" t="str">
        <f>IF(SexePerso="Féminin","Damnée",IF('Perso Reloaded'!$C$6="Féminin","Damnée","Damné"))</f>
        <v>Damné</v>
      </c>
      <c r="B89">
        <f>IF(AtoutsHandicapsMatos!$C$5=A89,1,0)</f>
        <v>0</v>
      </c>
      <c r="C89">
        <f>IF(AtoutsHandicapsMatos!$C$6=A89,1,0)</f>
        <v>0</v>
      </c>
      <c r="D89">
        <f>IF(AtoutsHandicapsMatos!$C$7=A89,1,0)</f>
        <v>0</v>
      </c>
      <c r="E89">
        <f>IF(AtoutsHandicapsMatos!$C$8=A89,1,0)</f>
        <v>0</v>
      </c>
      <c r="F89">
        <f>IF(AtoutsHandicapsMatos!$C$9=A89,1,0)</f>
        <v>0</v>
      </c>
      <c r="G89">
        <f>IF(AtoutsHandicapsMatos!$C$10=A89,1,0)</f>
        <v>0</v>
      </c>
      <c r="H89">
        <f>IF(AtoutsHandicapsMatos!$C$11=A89,1,0)</f>
        <v>0</v>
      </c>
      <c r="I89">
        <f>IF(AtoutsHandicapsMatos!$C$12=A89,1,0)</f>
        <v>0</v>
      </c>
      <c r="J89">
        <f>IF(AtoutsHandicapsMatos!$C$13=A89,1,0)</f>
        <v>0</v>
      </c>
      <c r="K89">
        <f>IF(AtoutsHandicapsMatos!$C$14=A89,1,0)</f>
        <v>0</v>
      </c>
      <c r="L89">
        <f>IF('Perso Reloaded'!$L$20=A89,1,0)</f>
        <v>0</v>
      </c>
      <c r="M89">
        <f>IF('Perso Reloaded'!$L$21=A89,1,0)</f>
        <v>0</v>
      </c>
      <c r="N89">
        <f>IF('Perso Reloaded'!$L$22=A89,1,0)</f>
        <v>0</v>
      </c>
      <c r="O89">
        <f>IF('Perso Reloaded'!$L$23=A89,1,0)</f>
        <v>0</v>
      </c>
      <c r="P89">
        <f>IF('Perso Reloaded'!$L$24=A89,1,0)</f>
        <v>0</v>
      </c>
      <c r="Q89">
        <f>IF('Perso Reloaded'!$L$25=A89,1,0)</f>
        <v>0</v>
      </c>
      <c r="R89">
        <f>IF('Perso Reloaded'!$L$26=A89,1,0)</f>
        <v>0</v>
      </c>
      <c r="S89">
        <f>IF('Perso Reloaded'!$L$27=A89,1,0)</f>
        <v>0</v>
      </c>
      <c r="T89">
        <f t="shared" si="2"/>
        <v>0</v>
      </c>
      <c r="U89" t="b">
        <f t="shared" si="3"/>
        <v>0</v>
      </c>
    </row>
    <row r="90" spans="1:21" x14ac:dyDescent="0.3">
      <c r="A90" s="65" t="str">
        <f>IF(SexePerso="Féminin","Débrouillarde",IF('Perso Reloaded'!$C$6="Féminin","Débrouillarde","Débrouillard"))</f>
        <v>Débrouillard</v>
      </c>
      <c r="B90">
        <f>IF(AtoutsHandicapsMatos!$C$5=A90,1,0)</f>
        <v>0</v>
      </c>
      <c r="C90">
        <f>IF(AtoutsHandicapsMatos!$C$6=A90,1,0)</f>
        <v>0</v>
      </c>
      <c r="D90">
        <f>IF(AtoutsHandicapsMatos!$C$7=A90,1,0)</f>
        <v>0</v>
      </c>
      <c r="E90">
        <f>IF(AtoutsHandicapsMatos!$C$8=A90,1,0)</f>
        <v>0</v>
      </c>
      <c r="F90">
        <f>IF(AtoutsHandicapsMatos!$C$9=A90,1,0)</f>
        <v>0</v>
      </c>
      <c r="G90">
        <f>IF(AtoutsHandicapsMatos!$C$10=A90,1,0)</f>
        <v>0</v>
      </c>
      <c r="H90">
        <f>IF(AtoutsHandicapsMatos!$C$11=A90,1,0)</f>
        <v>0</v>
      </c>
      <c r="I90">
        <f>IF(AtoutsHandicapsMatos!$C$12=A90,1,0)</f>
        <v>0</v>
      </c>
      <c r="J90">
        <f>IF(AtoutsHandicapsMatos!$C$13=A90,1,0)</f>
        <v>0</v>
      </c>
      <c r="K90">
        <f>IF(AtoutsHandicapsMatos!$C$14=A90,1,0)</f>
        <v>0</v>
      </c>
      <c r="L90">
        <f>IF('Perso Reloaded'!$L$20=A90,1,0)</f>
        <v>0</v>
      </c>
      <c r="M90">
        <f>IF('Perso Reloaded'!$L$21=A90,1,0)</f>
        <v>0</v>
      </c>
      <c r="N90">
        <f>IF('Perso Reloaded'!$L$22=A90,1,0)</f>
        <v>0</v>
      </c>
      <c r="O90">
        <f>IF('Perso Reloaded'!$L$23=A90,1,0)</f>
        <v>0</v>
      </c>
      <c r="P90">
        <f>IF('Perso Reloaded'!$L$24=A90,1,0)</f>
        <v>0</v>
      </c>
      <c r="Q90">
        <f>IF('Perso Reloaded'!$L$25=A90,1,0)</f>
        <v>0</v>
      </c>
      <c r="R90">
        <f>IF('Perso Reloaded'!$L$26=A90,1,0)</f>
        <v>0</v>
      </c>
      <c r="S90">
        <f>IF('Perso Reloaded'!$L$27=A90,1,0)</f>
        <v>0</v>
      </c>
      <c r="T90">
        <f t="shared" si="2"/>
        <v>0</v>
      </c>
      <c r="U90" t="b">
        <f t="shared" si="3"/>
        <v>0</v>
      </c>
    </row>
    <row r="91" spans="1:21" x14ac:dyDescent="0.3">
      <c r="A91" s="65" t="s">
        <v>3248</v>
      </c>
      <c r="B91">
        <f>IF(AtoutsHandicapsMatos!$C$5=A91,1,0)</f>
        <v>0</v>
      </c>
      <c r="C91">
        <f>IF(AtoutsHandicapsMatos!$C$6=A91,1,0)</f>
        <v>0</v>
      </c>
      <c r="D91">
        <f>IF(AtoutsHandicapsMatos!$C$7=A91,1,0)</f>
        <v>0</v>
      </c>
      <c r="E91">
        <f>IF(AtoutsHandicapsMatos!$C$8=A91,1,0)</f>
        <v>0</v>
      </c>
      <c r="F91">
        <f>IF(AtoutsHandicapsMatos!$C$9=A91,1,0)</f>
        <v>0</v>
      </c>
      <c r="G91">
        <f>IF(AtoutsHandicapsMatos!$C$10=A91,1,0)</f>
        <v>0</v>
      </c>
      <c r="H91">
        <f>IF(AtoutsHandicapsMatos!$C$11=A91,1,0)</f>
        <v>0</v>
      </c>
      <c r="I91">
        <f>IF(AtoutsHandicapsMatos!$C$12=A91,1,0)</f>
        <v>0</v>
      </c>
      <c r="J91">
        <f>IF(AtoutsHandicapsMatos!$C$13=A91,1,0)</f>
        <v>0</v>
      </c>
      <c r="K91">
        <f>IF(AtoutsHandicapsMatos!$C$14=A91,1,0)</f>
        <v>0</v>
      </c>
      <c r="L91">
        <f>IF('Perso Reloaded'!$L$20=A91,1,0)</f>
        <v>0</v>
      </c>
      <c r="M91">
        <f>IF('Perso Reloaded'!$L$21=A91,1,0)</f>
        <v>0</v>
      </c>
      <c r="N91">
        <f>IF('Perso Reloaded'!$L$22=A91,1,0)</f>
        <v>0</v>
      </c>
      <c r="O91">
        <f>IF('Perso Reloaded'!$L$23=A91,1,0)</f>
        <v>0</v>
      </c>
      <c r="P91">
        <f>IF('Perso Reloaded'!$L$24=A91,1,0)</f>
        <v>0</v>
      </c>
      <c r="Q91">
        <f>IF('Perso Reloaded'!$L$25=A91,1,0)</f>
        <v>0</v>
      </c>
      <c r="R91">
        <f>IF('Perso Reloaded'!$L$26=A91,1,0)</f>
        <v>0</v>
      </c>
      <c r="S91">
        <f>IF('Perso Reloaded'!$L$27=A91,1,0)</f>
        <v>0</v>
      </c>
      <c r="T91">
        <f t="shared" si="2"/>
        <v>0</v>
      </c>
      <c r="U91" t="b">
        <f t="shared" si="3"/>
        <v>0</v>
      </c>
    </row>
    <row r="92" spans="1:21" x14ac:dyDescent="0.3">
      <c r="A92" s="65" t="s">
        <v>5273</v>
      </c>
      <c r="B92">
        <f>IF(AtoutsHandicapsMatos!$C$5=A92,1,0)</f>
        <v>0</v>
      </c>
      <c r="C92">
        <f>IF(AtoutsHandicapsMatos!$C$6=A92,1,0)</f>
        <v>0</v>
      </c>
      <c r="D92">
        <f>IF(AtoutsHandicapsMatos!$C$7=A92,1,0)</f>
        <v>0</v>
      </c>
      <c r="E92">
        <f>IF(AtoutsHandicapsMatos!$C$8=A92,1,0)</f>
        <v>0</v>
      </c>
      <c r="F92">
        <f>IF(AtoutsHandicapsMatos!$C$9=A92,1,0)</f>
        <v>0</v>
      </c>
      <c r="G92">
        <f>IF(AtoutsHandicapsMatos!$C$10=A92,1,0)</f>
        <v>0</v>
      </c>
      <c r="H92">
        <f>IF(AtoutsHandicapsMatos!$C$11=A92,1,0)</f>
        <v>0</v>
      </c>
      <c r="I92">
        <f>IF(AtoutsHandicapsMatos!$C$12=A92,1,0)</f>
        <v>0</v>
      </c>
      <c r="J92">
        <f>IF(AtoutsHandicapsMatos!$C$13=A92,1,0)</f>
        <v>0</v>
      </c>
      <c r="K92">
        <f>IF(AtoutsHandicapsMatos!$C$14=A92,1,0)</f>
        <v>0</v>
      </c>
      <c r="L92">
        <f>IF('Perso Reloaded'!$L$20=A92,1,0)</f>
        <v>0</v>
      </c>
      <c r="M92">
        <f>IF('Perso Reloaded'!$L$21=A92,1,0)</f>
        <v>0</v>
      </c>
      <c r="N92">
        <f>IF('Perso Reloaded'!$L$22=A92,1,0)</f>
        <v>0</v>
      </c>
      <c r="O92">
        <f>IF('Perso Reloaded'!$L$23=A92,1,0)</f>
        <v>0</v>
      </c>
      <c r="P92">
        <f>IF('Perso Reloaded'!$L$24=A92,1,0)</f>
        <v>0</v>
      </c>
      <c r="Q92">
        <f>IF('Perso Reloaded'!$L$25=A92,1,0)</f>
        <v>0</v>
      </c>
      <c r="R92">
        <f>IF('Perso Reloaded'!$L$26=A92,1,0)</f>
        <v>0</v>
      </c>
      <c r="S92">
        <f>IF('Perso Reloaded'!$L$27=A92,1,0)</f>
        <v>0</v>
      </c>
      <c r="T92">
        <f t="shared" ref="T92" si="4">SUM(B92:S92)</f>
        <v>0</v>
      </c>
      <c r="U92" t="b">
        <f t="shared" si="3"/>
        <v>0</v>
      </c>
    </row>
    <row r="93" spans="1:21" x14ac:dyDescent="0.3">
      <c r="A93" s="65" t="s">
        <v>307</v>
      </c>
      <c r="B93">
        <f>IF(AtoutsHandicapsMatos!$C$5=A93,1,0)</f>
        <v>0</v>
      </c>
      <c r="C93">
        <f>IF(AtoutsHandicapsMatos!$C$6=A93,1,0)</f>
        <v>0</v>
      </c>
      <c r="D93">
        <f>IF(AtoutsHandicapsMatos!$C$7=A93,1,0)</f>
        <v>0</v>
      </c>
      <c r="E93">
        <f>IF(AtoutsHandicapsMatos!$C$8=A93,1,0)</f>
        <v>0</v>
      </c>
      <c r="F93">
        <f>IF(AtoutsHandicapsMatos!$C$9=A93,1,0)</f>
        <v>0</v>
      </c>
      <c r="G93">
        <f>IF(AtoutsHandicapsMatos!$C$10=A93,1,0)</f>
        <v>0</v>
      </c>
      <c r="H93">
        <f>IF(AtoutsHandicapsMatos!$C$11=A93,1,0)</f>
        <v>0</v>
      </c>
      <c r="I93">
        <f>IF(AtoutsHandicapsMatos!$C$12=A93,1,0)</f>
        <v>0</v>
      </c>
      <c r="J93">
        <f>IF(AtoutsHandicapsMatos!$C$13=A93,1,0)</f>
        <v>0</v>
      </c>
      <c r="K93">
        <f>IF(AtoutsHandicapsMatos!$C$14=A93,1,0)</f>
        <v>0</v>
      </c>
      <c r="L93">
        <f>IF('Perso Reloaded'!$L$20=A93,1,0)</f>
        <v>0</v>
      </c>
      <c r="M93">
        <f>IF('Perso Reloaded'!$L$21=A93,1,0)</f>
        <v>0</v>
      </c>
      <c r="N93">
        <f>IF('Perso Reloaded'!$L$22=A93,1,0)</f>
        <v>0</v>
      </c>
      <c r="O93">
        <f>IF('Perso Reloaded'!$L$23=A93,1,0)</f>
        <v>0</v>
      </c>
      <c r="P93">
        <f>IF('Perso Reloaded'!$L$24=A93,1,0)</f>
        <v>0</v>
      </c>
      <c r="Q93">
        <f>IF('Perso Reloaded'!$L$25=A93,1,0)</f>
        <v>0</v>
      </c>
      <c r="R93">
        <f>IF('Perso Reloaded'!$L$26=A93,1,0)</f>
        <v>0</v>
      </c>
      <c r="S93">
        <f>IF('Perso Reloaded'!$L$27=A93,1,0)</f>
        <v>0</v>
      </c>
      <c r="T93">
        <f t="shared" si="2"/>
        <v>0</v>
      </c>
      <c r="U93" t="b">
        <f t="shared" si="3"/>
        <v>0</v>
      </c>
    </row>
    <row r="94" spans="1:21" x14ac:dyDescent="0.3">
      <c r="A94" s="65" t="s">
        <v>5244</v>
      </c>
      <c r="B94">
        <f>IF(AtoutsHandicapsMatos!$C$5=A94,1,0)</f>
        <v>0</v>
      </c>
      <c r="C94">
        <f>IF(AtoutsHandicapsMatos!$C$6=A94,1,0)</f>
        <v>0</v>
      </c>
      <c r="D94">
        <f>IF(AtoutsHandicapsMatos!$C$7=A94,1,0)</f>
        <v>0</v>
      </c>
      <c r="E94">
        <f>IF(AtoutsHandicapsMatos!$C$8=A94,1,0)</f>
        <v>0</v>
      </c>
      <c r="F94">
        <f>IF(AtoutsHandicapsMatos!$C$9=A94,1,0)</f>
        <v>0</v>
      </c>
      <c r="G94">
        <f>IF(AtoutsHandicapsMatos!$C$10=A94,1,0)</f>
        <v>0</v>
      </c>
      <c r="H94">
        <f>IF(AtoutsHandicapsMatos!$C$11=A94,1,0)</f>
        <v>0</v>
      </c>
      <c r="I94">
        <f>IF(AtoutsHandicapsMatos!$C$12=A94,1,0)</f>
        <v>0</v>
      </c>
      <c r="J94">
        <f>IF(AtoutsHandicapsMatos!$C$13=A94,1,0)</f>
        <v>0</v>
      </c>
      <c r="K94">
        <f>IF(AtoutsHandicapsMatos!$C$14=A94,1,0)</f>
        <v>0</v>
      </c>
      <c r="L94">
        <f>IF('Perso Reloaded'!$L$20=A94,1,0)</f>
        <v>0</v>
      </c>
      <c r="M94">
        <f>IF('Perso Reloaded'!$L$21=A94,1,0)</f>
        <v>0</v>
      </c>
      <c r="N94">
        <f>IF('Perso Reloaded'!$L$22=A94,1,0)</f>
        <v>0</v>
      </c>
      <c r="O94">
        <f>IF('Perso Reloaded'!$L$23=A94,1,0)</f>
        <v>0</v>
      </c>
      <c r="P94">
        <f>IF('Perso Reloaded'!$L$24=A94,1,0)</f>
        <v>0</v>
      </c>
      <c r="Q94">
        <f>IF('Perso Reloaded'!$L$25=A94,1,0)</f>
        <v>0</v>
      </c>
      <c r="R94">
        <f>IF('Perso Reloaded'!$L$26=A94,1,0)</f>
        <v>0</v>
      </c>
      <c r="S94">
        <f>IF('Perso Reloaded'!$L$27=A94,1,0)</f>
        <v>0</v>
      </c>
      <c r="T94">
        <f t="shared" si="2"/>
        <v>0</v>
      </c>
      <c r="U94" t="b">
        <f t="shared" si="3"/>
        <v>0</v>
      </c>
    </row>
    <row r="95" spans="1:21" x14ac:dyDescent="0.3">
      <c r="A95" s="65" t="s">
        <v>1379</v>
      </c>
      <c r="B95">
        <f>IF(AtoutsHandicapsMatos!$C$5=A95,1,0)</f>
        <v>0</v>
      </c>
      <c r="C95">
        <f>IF(AtoutsHandicapsMatos!$C$6=A95,1,0)</f>
        <v>0</v>
      </c>
      <c r="D95">
        <f>IF(AtoutsHandicapsMatos!$C$7=A95,1,0)</f>
        <v>0</v>
      </c>
      <c r="E95">
        <f>IF(AtoutsHandicapsMatos!$C$8=A95,1,0)</f>
        <v>0</v>
      </c>
      <c r="F95">
        <f>IF(AtoutsHandicapsMatos!$C$9=A95,1,0)</f>
        <v>0</v>
      </c>
      <c r="G95">
        <f>IF(AtoutsHandicapsMatos!$C$10=A95,1,0)</f>
        <v>0</v>
      </c>
      <c r="H95">
        <f>IF(AtoutsHandicapsMatos!$C$11=A95,1,0)</f>
        <v>0</v>
      </c>
      <c r="I95">
        <f>IF(AtoutsHandicapsMatos!$C$12=A95,1,0)</f>
        <v>0</v>
      </c>
      <c r="J95">
        <f>IF(AtoutsHandicapsMatos!$C$13=A95,1,0)</f>
        <v>0</v>
      </c>
      <c r="K95">
        <f>IF(AtoutsHandicapsMatos!$C$14=A95,1,0)</f>
        <v>0</v>
      </c>
      <c r="L95">
        <f>IF('Perso Reloaded'!$L$20=A95,1,0)</f>
        <v>0</v>
      </c>
      <c r="M95">
        <f>IF('Perso Reloaded'!$L$21=A95,1,0)</f>
        <v>0</v>
      </c>
      <c r="N95">
        <f>IF('Perso Reloaded'!$L$22=A95,1,0)</f>
        <v>0</v>
      </c>
      <c r="O95">
        <f>IF('Perso Reloaded'!$L$23=A95,1,0)</f>
        <v>0</v>
      </c>
      <c r="P95">
        <f>IF('Perso Reloaded'!$L$24=A95,1,0)</f>
        <v>0</v>
      </c>
      <c r="Q95">
        <f>IF('Perso Reloaded'!$L$25=A95,1,0)</f>
        <v>0</v>
      </c>
      <c r="R95">
        <f>IF('Perso Reloaded'!$L$26=A95,1,0)</f>
        <v>0</v>
      </c>
      <c r="S95">
        <f>IF('Perso Reloaded'!$L$27=A95,1,0)</f>
        <v>0</v>
      </c>
      <c r="T95">
        <f t="shared" si="2"/>
        <v>0</v>
      </c>
      <c r="U95" t="b">
        <f t="shared" si="3"/>
        <v>0</v>
      </c>
    </row>
    <row r="96" spans="1:21" x14ac:dyDescent="0.3">
      <c r="A96" s="65" t="s">
        <v>266</v>
      </c>
      <c r="B96">
        <f>IF(AtoutsHandicapsMatos!$C$5=A96,1,0)</f>
        <v>0</v>
      </c>
      <c r="C96">
        <f>IF(AtoutsHandicapsMatos!$C$6=A96,1,0)</f>
        <v>0</v>
      </c>
      <c r="D96">
        <f>IF(AtoutsHandicapsMatos!$C$7=A96,1,0)</f>
        <v>0</v>
      </c>
      <c r="E96">
        <f>IF(AtoutsHandicapsMatos!$C$8=A96,1,0)</f>
        <v>0</v>
      </c>
      <c r="F96">
        <f>IF(AtoutsHandicapsMatos!$C$9=A96,1,0)</f>
        <v>0</v>
      </c>
      <c r="G96">
        <f>IF(AtoutsHandicapsMatos!$C$10=A96,1,0)</f>
        <v>0</v>
      </c>
      <c r="H96">
        <f>IF(AtoutsHandicapsMatos!$C$11=A96,1,0)</f>
        <v>0</v>
      </c>
      <c r="I96">
        <f>IF(AtoutsHandicapsMatos!$C$12=A96,1,0)</f>
        <v>0</v>
      </c>
      <c r="J96">
        <f>IF(AtoutsHandicapsMatos!$C$13=A96,1,0)</f>
        <v>0</v>
      </c>
      <c r="K96">
        <f>IF(AtoutsHandicapsMatos!$C$14=A96,1,0)</f>
        <v>0</v>
      </c>
      <c r="L96">
        <f>IF('Perso Reloaded'!$L$20=A96,1,0)</f>
        <v>0</v>
      </c>
      <c r="M96">
        <f>IF('Perso Reloaded'!$L$21=A96,1,0)</f>
        <v>0</v>
      </c>
      <c r="N96">
        <f>IF('Perso Reloaded'!$L$22=A96,1,0)</f>
        <v>0</v>
      </c>
      <c r="O96">
        <f>IF('Perso Reloaded'!$L$23=A96,1,0)</f>
        <v>0</v>
      </c>
      <c r="P96">
        <f>IF('Perso Reloaded'!$L$24=A96,1,0)</f>
        <v>0</v>
      </c>
      <c r="Q96">
        <f>IF('Perso Reloaded'!$L$25=A96,1,0)</f>
        <v>0</v>
      </c>
      <c r="R96">
        <f>IF('Perso Reloaded'!$L$26=A96,1,0)</f>
        <v>0</v>
      </c>
      <c r="S96">
        <f>IF('Perso Reloaded'!$L$27=A96,1,0)</f>
        <v>0</v>
      </c>
      <c r="T96">
        <f t="shared" si="2"/>
        <v>0</v>
      </c>
      <c r="U96" t="b">
        <f t="shared" si="3"/>
        <v>0</v>
      </c>
    </row>
    <row r="97" spans="1:21" x14ac:dyDescent="0.3">
      <c r="A97" s="65" t="str">
        <f>IF(SexePerso="Féminin","Don: Accouchée par le siège",IF('Perso Reloaded'!$C$6="Féminin","Don: Accouchée par le siège","Don: Accouché par le siège"))</f>
        <v>Don: Accouché par le siège</v>
      </c>
      <c r="B97">
        <f>IF(AtoutsHandicapsMatos!$C$5=A97,1,0)</f>
        <v>0</v>
      </c>
      <c r="C97">
        <f>IF(AtoutsHandicapsMatos!$C$6=A97,1,0)</f>
        <v>0</v>
      </c>
      <c r="D97">
        <f>IF(AtoutsHandicapsMatos!$C$7=A97,1,0)</f>
        <v>0</v>
      </c>
      <c r="E97">
        <f>IF(AtoutsHandicapsMatos!$C$8=A97,1,0)</f>
        <v>0</v>
      </c>
      <c r="F97">
        <f>IF(AtoutsHandicapsMatos!$C$9=A97,1,0)</f>
        <v>0</v>
      </c>
      <c r="G97">
        <f>IF(AtoutsHandicapsMatos!$C$10=A97,1,0)</f>
        <v>0</v>
      </c>
      <c r="H97">
        <f>IF(AtoutsHandicapsMatos!$C$11=A97,1,0)</f>
        <v>0</v>
      </c>
      <c r="I97">
        <f>IF(AtoutsHandicapsMatos!$C$12=A97,1,0)</f>
        <v>0</v>
      </c>
      <c r="J97">
        <f>IF(AtoutsHandicapsMatos!$C$13=A97,1,0)</f>
        <v>0</v>
      </c>
      <c r="K97">
        <f>IF(AtoutsHandicapsMatos!$C$14=A97,1,0)</f>
        <v>0</v>
      </c>
      <c r="L97">
        <f>IF('Perso Reloaded'!$L$20=A97,1,0)</f>
        <v>0</v>
      </c>
      <c r="M97">
        <f>IF('Perso Reloaded'!$L$21=A97,1,0)</f>
        <v>0</v>
      </c>
      <c r="N97">
        <f>IF('Perso Reloaded'!$L$22=A97,1,0)</f>
        <v>0</v>
      </c>
      <c r="O97">
        <f>IF('Perso Reloaded'!$L$23=A97,1,0)</f>
        <v>0</v>
      </c>
      <c r="P97">
        <f>IF('Perso Reloaded'!$L$24=A97,1,0)</f>
        <v>0</v>
      </c>
      <c r="Q97">
        <f>IF('Perso Reloaded'!$L$25=A97,1,0)</f>
        <v>0</v>
      </c>
      <c r="R97">
        <f>IF('Perso Reloaded'!$L$26=A97,1,0)</f>
        <v>0</v>
      </c>
      <c r="S97">
        <f>IF('Perso Reloaded'!$L$27=A97,1,0)</f>
        <v>0</v>
      </c>
      <c r="T97">
        <f t="shared" si="2"/>
        <v>0</v>
      </c>
      <c r="U97" t="b">
        <f t="shared" si="3"/>
        <v>0</v>
      </c>
    </row>
    <row r="98" spans="1:21" x14ac:dyDescent="0.3">
      <c r="A98" s="65" t="s">
        <v>1380</v>
      </c>
      <c r="B98">
        <f>IF(AtoutsHandicapsMatos!$C$5=A98,1,0)</f>
        <v>0</v>
      </c>
      <c r="C98">
        <f>IF(AtoutsHandicapsMatos!$C$6=A98,1,0)</f>
        <v>0</v>
      </c>
      <c r="D98">
        <f>IF(AtoutsHandicapsMatos!$C$7=A98,1,0)</f>
        <v>0</v>
      </c>
      <c r="E98">
        <f>IF(AtoutsHandicapsMatos!$C$8=A98,1,0)</f>
        <v>0</v>
      </c>
      <c r="F98">
        <f>IF(AtoutsHandicapsMatos!$C$9=A98,1,0)</f>
        <v>0</v>
      </c>
      <c r="G98">
        <f>IF(AtoutsHandicapsMatos!$C$10=A98,1,0)</f>
        <v>0</v>
      </c>
      <c r="H98">
        <f>IF(AtoutsHandicapsMatos!$C$11=A98,1,0)</f>
        <v>0</v>
      </c>
      <c r="I98">
        <f>IF(AtoutsHandicapsMatos!$C$12=A98,1,0)</f>
        <v>0</v>
      </c>
      <c r="J98">
        <f>IF(AtoutsHandicapsMatos!$C$13=A98,1,0)</f>
        <v>0</v>
      </c>
      <c r="K98">
        <f>IF(AtoutsHandicapsMatos!$C$14=A98,1,0)</f>
        <v>0</v>
      </c>
      <c r="L98">
        <f>IF('Perso Reloaded'!$L$20=A98,1,0)</f>
        <v>0</v>
      </c>
      <c r="M98">
        <f>IF('Perso Reloaded'!$L$21=A98,1,0)</f>
        <v>0</v>
      </c>
      <c r="N98">
        <f>IF('Perso Reloaded'!$L$22=A98,1,0)</f>
        <v>0</v>
      </c>
      <c r="O98">
        <f>IF('Perso Reloaded'!$L$23=A98,1,0)</f>
        <v>0</v>
      </c>
      <c r="P98">
        <f>IF('Perso Reloaded'!$L$24=A98,1,0)</f>
        <v>0</v>
      </c>
      <c r="Q98">
        <f>IF('Perso Reloaded'!$L$25=A98,1,0)</f>
        <v>0</v>
      </c>
      <c r="R98">
        <f>IF('Perso Reloaded'!$L$26=A98,1,0)</f>
        <v>0</v>
      </c>
      <c r="S98">
        <f>IF('Perso Reloaded'!$L$27=A98,1,0)</f>
        <v>0</v>
      </c>
      <c r="T98">
        <f t="shared" si="2"/>
        <v>0</v>
      </c>
      <c r="U98" t="b">
        <f t="shared" si="3"/>
        <v>0</v>
      </c>
    </row>
    <row r="99" spans="1:21" x14ac:dyDescent="0.3">
      <c r="A99" s="65" t="str">
        <f>IF(SexePerso="Féminin","Don: Accouchée par les manitous",IF('Perso Reloaded'!$C$6="Féminin","Don: Accouchée par les manitous","Don: Accouché par les manitous"))</f>
        <v>Don: Accouché par les manitous</v>
      </c>
      <c r="B99">
        <f>IF(AtoutsHandicapsMatos!$C$5=A99,1,0)</f>
        <v>0</v>
      </c>
      <c r="C99">
        <f>IF(AtoutsHandicapsMatos!$C$6=A99,1,0)</f>
        <v>0</v>
      </c>
      <c r="D99">
        <f>IF(AtoutsHandicapsMatos!$C$7=A99,1,0)</f>
        <v>0</v>
      </c>
      <c r="E99">
        <f>IF(AtoutsHandicapsMatos!$C$8=A99,1,0)</f>
        <v>0</v>
      </c>
      <c r="F99">
        <f>IF(AtoutsHandicapsMatos!$C$9=A99,1,0)</f>
        <v>0</v>
      </c>
      <c r="G99">
        <f>IF(AtoutsHandicapsMatos!$C$10=A99,1,0)</f>
        <v>0</v>
      </c>
      <c r="H99">
        <f>IF(AtoutsHandicapsMatos!$C$11=A99,1,0)</f>
        <v>0</v>
      </c>
      <c r="I99">
        <f>IF(AtoutsHandicapsMatos!$C$12=A99,1,0)</f>
        <v>0</v>
      </c>
      <c r="J99">
        <f>IF(AtoutsHandicapsMatos!$C$13=A99,1,0)</f>
        <v>0</v>
      </c>
      <c r="K99">
        <f>IF(AtoutsHandicapsMatos!$C$14=A99,1,0)</f>
        <v>0</v>
      </c>
      <c r="L99">
        <f>IF('Perso Reloaded'!$L$20=A99,1,0)</f>
        <v>0</v>
      </c>
      <c r="M99">
        <f>IF('Perso Reloaded'!$L$21=A99,1,0)</f>
        <v>0</v>
      </c>
      <c r="N99">
        <f>IF('Perso Reloaded'!$L$22=A99,1,0)</f>
        <v>0</v>
      </c>
      <c r="O99">
        <f>IF('Perso Reloaded'!$L$23=A99,1,0)</f>
        <v>0</v>
      </c>
      <c r="P99">
        <f>IF('Perso Reloaded'!$L$24=A99,1,0)</f>
        <v>0</v>
      </c>
      <c r="Q99">
        <f>IF('Perso Reloaded'!$L$25=A99,1,0)</f>
        <v>0</v>
      </c>
      <c r="R99">
        <f>IF('Perso Reloaded'!$L$26=A99,1,0)</f>
        <v>0</v>
      </c>
      <c r="S99">
        <f>IF('Perso Reloaded'!$L$27=A99,1,0)</f>
        <v>0</v>
      </c>
      <c r="T99">
        <f t="shared" si="2"/>
        <v>0</v>
      </c>
      <c r="U99" t="b">
        <f t="shared" si="3"/>
        <v>0</v>
      </c>
    </row>
    <row r="100" spans="1:21" x14ac:dyDescent="0.3">
      <c r="A100" s="65" t="s">
        <v>294</v>
      </c>
      <c r="B100">
        <f>IF(AtoutsHandicapsMatos!$C$5=A100,1,0)</f>
        <v>0</v>
      </c>
      <c r="C100">
        <f>IF(AtoutsHandicapsMatos!$C$6=A100,1,0)</f>
        <v>0</v>
      </c>
      <c r="D100">
        <f>IF(AtoutsHandicapsMatos!$C$7=A100,1,0)</f>
        <v>0</v>
      </c>
      <c r="E100">
        <f>IF(AtoutsHandicapsMatos!$C$8=A100,1,0)</f>
        <v>0</v>
      </c>
      <c r="F100">
        <f>IF(AtoutsHandicapsMatos!$C$9=A100,1,0)</f>
        <v>0</v>
      </c>
      <c r="G100">
        <f>IF(AtoutsHandicapsMatos!$C$10=A100,1,0)</f>
        <v>0</v>
      </c>
      <c r="H100">
        <f>IF(AtoutsHandicapsMatos!$C$11=A100,1,0)</f>
        <v>0</v>
      </c>
      <c r="I100">
        <f>IF(AtoutsHandicapsMatos!$C$12=A100,1,0)</f>
        <v>0</v>
      </c>
      <c r="J100">
        <f>IF(AtoutsHandicapsMatos!$C$13=A100,1,0)</f>
        <v>0</v>
      </c>
      <c r="K100">
        <f>IF(AtoutsHandicapsMatos!$C$14=A100,1,0)</f>
        <v>0</v>
      </c>
      <c r="L100">
        <f>IF('Perso Reloaded'!$L$20=A100,1,0)</f>
        <v>0</v>
      </c>
      <c r="M100">
        <f>IF('Perso Reloaded'!$L$21=A100,1,0)</f>
        <v>0</v>
      </c>
      <c r="N100">
        <f>IF('Perso Reloaded'!$L$22=A100,1,0)</f>
        <v>0</v>
      </c>
      <c r="O100">
        <f>IF('Perso Reloaded'!$L$23=A100,1,0)</f>
        <v>0</v>
      </c>
      <c r="P100">
        <f>IF('Perso Reloaded'!$L$24=A100,1,0)</f>
        <v>0</v>
      </c>
      <c r="Q100">
        <f>IF('Perso Reloaded'!$L$25=A100,1,0)</f>
        <v>0</v>
      </c>
      <c r="R100">
        <f>IF('Perso Reloaded'!$L$26=A100,1,0)</f>
        <v>0</v>
      </c>
      <c r="S100">
        <f>IF('Perso Reloaded'!$L$27=A100,1,0)</f>
        <v>0</v>
      </c>
      <c r="T100">
        <f t="shared" si="2"/>
        <v>0</v>
      </c>
      <c r="U100" t="b">
        <f t="shared" si="3"/>
        <v>0</v>
      </c>
    </row>
    <row r="101" spans="1:21" x14ac:dyDescent="0.3">
      <c r="A101" s="65" t="s">
        <v>3631</v>
      </c>
      <c r="B101">
        <f>IF(AtoutsHandicapsMatos!$C$5=A101,1,0)</f>
        <v>0</v>
      </c>
      <c r="C101">
        <f>IF(AtoutsHandicapsMatos!$C$6=A101,1,0)</f>
        <v>0</v>
      </c>
      <c r="D101">
        <f>IF(AtoutsHandicapsMatos!$C$7=A101,1,0)</f>
        <v>0</v>
      </c>
      <c r="E101">
        <f>IF(AtoutsHandicapsMatos!$C$8=A101,1,0)</f>
        <v>0</v>
      </c>
      <c r="F101">
        <f>IF(AtoutsHandicapsMatos!$C$9=A101,1,0)</f>
        <v>0</v>
      </c>
      <c r="G101">
        <f>IF(AtoutsHandicapsMatos!$C$10=A101,1,0)</f>
        <v>0</v>
      </c>
      <c r="H101">
        <f>IF(AtoutsHandicapsMatos!$C$11=A101,1,0)</f>
        <v>0</v>
      </c>
      <c r="I101">
        <f>IF(AtoutsHandicapsMatos!$C$12=A101,1,0)</f>
        <v>0</v>
      </c>
      <c r="J101">
        <f>IF(AtoutsHandicapsMatos!$C$13=A101,1,0)</f>
        <v>0</v>
      </c>
      <c r="K101">
        <f>IF(AtoutsHandicapsMatos!$C$14=A101,1,0)</f>
        <v>0</v>
      </c>
      <c r="L101">
        <f>IF('Perso Reloaded'!$L$20=A101,1,0)</f>
        <v>0</v>
      </c>
      <c r="M101">
        <f>IF('Perso Reloaded'!$L$21=A101,1,0)</f>
        <v>0</v>
      </c>
      <c r="N101">
        <f>IF('Perso Reloaded'!$L$22=A101,1,0)</f>
        <v>0</v>
      </c>
      <c r="O101">
        <f>IF('Perso Reloaded'!$L$23=A101,1,0)</f>
        <v>0</v>
      </c>
      <c r="P101">
        <f>IF('Perso Reloaded'!$L$24=A101,1,0)</f>
        <v>0</v>
      </c>
      <c r="Q101">
        <f>IF('Perso Reloaded'!$L$25=A101,1,0)</f>
        <v>0</v>
      </c>
      <c r="R101">
        <f>IF('Perso Reloaded'!$L$26=A101,1,0)</f>
        <v>0</v>
      </c>
      <c r="S101">
        <f>IF('Perso Reloaded'!$L$27=A101,1,0)</f>
        <v>0</v>
      </c>
      <c r="T101">
        <f t="shared" si="2"/>
        <v>0</v>
      </c>
      <c r="U101" t="b">
        <f t="shared" si="3"/>
        <v>0</v>
      </c>
    </row>
    <row r="102" spans="1:21" x14ac:dyDescent="0.3">
      <c r="A102" s="65" t="s">
        <v>295</v>
      </c>
      <c r="B102">
        <f>IF(AtoutsHandicapsMatos!$C$5=A102,1,0)</f>
        <v>0</v>
      </c>
      <c r="C102">
        <f>IF(AtoutsHandicapsMatos!$C$6=A102,1,0)</f>
        <v>0</v>
      </c>
      <c r="D102">
        <f>IF(AtoutsHandicapsMatos!$C$7=A102,1,0)</f>
        <v>0</v>
      </c>
      <c r="E102">
        <f>IF(AtoutsHandicapsMatos!$C$8=A102,1,0)</f>
        <v>0</v>
      </c>
      <c r="F102">
        <f>IF(AtoutsHandicapsMatos!$C$9=A102,1,0)</f>
        <v>0</v>
      </c>
      <c r="G102">
        <f>IF(AtoutsHandicapsMatos!$C$10=A102,1,0)</f>
        <v>0</v>
      </c>
      <c r="H102">
        <f>IF(AtoutsHandicapsMatos!$C$11=A102,1,0)</f>
        <v>0</v>
      </c>
      <c r="I102">
        <f>IF(AtoutsHandicapsMatos!$C$12=A102,1,0)</f>
        <v>0</v>
      </c>
      <c r="J102">
        <f>IF(AtoutsHandicapsMatos!$C$13=A102,1,0)</f>
        <v>0</v>
      </c>
      <c r="K102">
        <f>IF(AtoutsHandicapsMatos!$C$14=A102,1,0)</f>
        <v>0</v>
      </c>
      <c r="L102">
        <f>IF('Perso Reloaded'!$L$20=A102,1,0)</f>
        <v>0</v>
      </c>
      <c r="M102">
        <f>IF('Perso Reloaded'!$L$21=A102,1,0)</f>
        <v>0</v>
      </c>
      <c r="N102">
        <f>IF('Perso Reloaded'!$L$22=A102,1,0)</f>
        <v>0</v>
      </c>
      <c r="O102">
        <f>IF('Perso Reloaded'!$L$23=A102,1,0)</f>
        <v>0</v>
      </c>
      <c r="P102">
        <f>IF('Perso Reloaded'!$L$24=A102,1,0)</f>
        <v>0</v>
      </c>
      <c r="Q102">
        <f>IF('Perso Reloaded'!$L$25=A102,1,0)</f>
        <v>0</v>
      </c>
      <c r="R102">
        <f>IF('Perso Reloaded'!$L$26=A102,1,0)</f>
        <v>0</v>
      </c>
      <c r="S102">
        <f>IF('Perso Reloaded'!$L$27=A102,1,0)</f>
        <v>0</v>
      </c>
      <c r="T102">
        <f t="shared" si="2"/>
        <v>0</v>
      </c>
      <c r="U102" t="b">
        <f t="shared" si="3"/>
        <v>0</v>
      </c>
    </row>
    <row r="103" spans="1:21" x14ac:dyDescent="0.3">
      <c r="A103" s="65" t="s">
        <v>4810</v>
      </c>
      <c r="B103">
        <f>IF(AtoutsHandicapsMatos!$C$5=A103,1,0)</f>
        <v>0</v>
      </c>
      <c r="C103">
        <f>IF(AtoutsHandicapsMatos!$C$6=A103,1,0)</f>
        <v>0</v>
      </c>
      <c r="D103">
        <f>IF(AtoutsHandicapsMatos!$C$7=A103,1,0)</f>
        <v>0</v>
      </c>
      <c r="E103">
        <f>IF(AtoutsHandicapsMatos!$C$8=A103,1,0)</f>
        <v>0</v>
      </c>
      <c r="F103">
        <f>IF(AtoutsHandicapsMatos!$C$9=A103,1,0)</f>
        <v>0</v>
      </c>
      <c r="G103">
        <f>IF(AtoutsHandicapsMatos!$C$10=A103,1,0)</f>
        <v>0</v>
      </c>
      <c r="H103">
        <f>IF(AtoutsHandicapsMatos!$C$11=A103,1,0)</f>
        <v>0</v>
      </c>
      <c r="I103">
        <f>IF(AtoutsHandicapsMatos!$C$12=A103,1,0)</f>
        <v>0</v>
      </c>
      <c r="J103">
        <f>IF(AtoutsHandicapsMatos!$C$13=A103,1,0)</f>
        <v>0</v>
      </c>
      <c r="K103">
        <f>IF(AtoutsHandicapsMatos!$C$14=A103,1,0)</f>
        <v>0</v>
      </c>
      <c r="L103">
        <f>IF('Perso Reloaded'!$L$20=A103,1,0)</f>
        <v>0</v>
      </c>
      <c r="M103">
        <f>IF('Perso Reloaded'!$L$21=A103,1,0)</f>
        <v>0</v>
      </c>
      <c r="N103">
        <f>IF('Perso Reloaded'!$L$22=A103,1,0)</f>
        <v>0</v>
      </c>
      <c r="O103">
        <f>IF('Perso Reloaded'!$L$23=A103,1,0)</f>
        <v>0</v>
      </c>
      <c r="P103">
        <f>IF('Perso Reloaded'!$L$24=A103,1,0)</f>
        <v>0</v>
      </c>
      <c r="Q103">
        <f>IF('Perso Reloaded'!$L$25=A103,1,0)</f>
        <v>0</v>
      </c>
      <c r="R103">
        <f>IF('Perso Reloaded'!$L$26=A103,1,0)</f>
        <v>0</v>
      </c>
      <c r="S103">
        <f>IF('Perso Reloaded'!$L$27=A103,1,0)</f>
        <v>0</v>
      </c>
      <c r="T103">
        <f t="shared" si="2"/>
        <v>0</v>
      </c>
      <c r="U103" t="b">
        <f t="shared" si="3"/>
        <v>0</v>
      </c>
    </row>
    <row r="104" spans="1:21" x14ac:dyDescent="0.3">
      <c r="A104" s="65" t="s">
        <v>296</v>
      </c>
      <c r="B104">
        <f>IF(AtoutsHandicapsMatos!$C$5=A104,1,0)</f>
        <v>0</v>
      </c>
      <c r="C104">
        <f>IF(AtoutsHandicapsMatos!$C$6=A104,1,0)</f>
        <v>0</v>
      </c>
      <c r="D104">
        <f>IF(AtoutsHandicapsMatos!$C$7=A104,1,0)</f>
        <v>0</v>
      </c>
      <c r="E104">
        <f>IF(AtoutsHandicapsMatos!$C$8=A104,1,0)</f>
        <v>0</v>
      </c>
      <c r="F104">
        <f>IF(AtoutsHandicapsMatos!$C$9=A104,1,0)</f>
        <v>0</v>
      </c>
      <c r="G104">
        <f>IF(AtoutsHandicapsMatos!$C$10=A104,1,0)</f>
        <v>0</v>
      </c>
      <c r="H104">
        <f>IF(AtoutsHandicapsMatos!$C$11=A104,1,0)</f>
        <v>0</v>
      </c>
      <c r="I104">
        <f>IF(AtoutsHandicapsMatos!$C$12=A104,1,0)</f>
        <v>0</v>
      </c>
      <c r="J104">
        <f>IF(AtoutsHandicapsMatos!$C$13=A104,1,0)</f>
        <v>0</v>
      </c>
      <c r="K104">
        <f>IF(AtoutsHandicapsMatos!$C$14=A104,1,0)</f>
        <v>0</v>
      </c>
      <c r="L104">
        <f>IF('Perso Reloaded'!$L$20=A104,1,0)</f>
        <v>0</v>
      </c>
      <c r="M104">
        <f>IF('Perso Reloaded'!$L$21=A104,1,0)</f>
        <v>0</v>
      </c>
      <c r="N104">
        <f>IF('Perso Reloaded'!$L$22=A104,1,0)</f>
        <v>0</v>
      </c>
      <c r="O104">
        <f>IF('Perso Reloaded'!$L$23=A104,1,0)</f>
        <v>0</v>
      </c>
      <c r="P104">
        <f>IF('Perso Reloaded'!$L$24=A104,1,0)</f>
        <v>0</v>
      </c>
      <c r="Q104">
        <f>IF('Perso Reloaded'!$L$25=A104,1,0)</f>
        <v>0</v>
      </c>
      <c r="R104">
        <f>IF('Perso Reloaded'!$L$26=A104,1,0)</f>
        <v>0</v>
      </c>
      <c r="S104">
        <f>IF('Perso Reloaded'!$L$27=A104,1,0)</f>
        <v>0</v>
      </c>
      <c r="T104">
        <f t="shared" si="2"/>
        <v>0</v>
      </c>
      <c r="U104" t="b">
        <f t="shared" si="3"/>
        <v>0</v>
      </c>
    </row>
    <row r="105" spans="1:21" x14ac:dyDescent="0.3">
      <c r="A105" s="65" t="s">
        <v>297</v>
      </c>
      <c r="B105">
        <f>IF(AtoutsHandicapsMatos!$C$5=A105,1,0)</f>
        <v>0</v>
      </c>
      <c r="C105">
        <f>IF(AtoutsHandicapsMatos!$C$6=A105,1,0)</f>
        <v>0</v>
      </c>
      <c r="D105">
        <f>IF(AtoutsHandicapsMatos!$C$7=A105,1,0)</f>
        <v>0</v>
      </c>
      <c r="E105">
        <f>IF(AtoutsHandicapsMatos!$C$8=A105,1,0)</f>
        <v>0</v>
      </c>
      <c r="F105">
        <f>IF(AtoutsHandicapsMatos!$C$9=A105,1,0)</f>
        <v>0</v>
      </c>
      <c r="G105">
        <f>IF(AtoutsHandicapsMatos!$C$10=A105,1,0)</f>
        <v>0</v>
      </c>
      <c r="H105">
        <f>IF(AtoutsHandicapsMatos!$C$11=A105,1,0)</f>
        <v>0</v>
      </c>
      <c r="I105">
        <f>IF(AtoutsHandicapsMatos!$C$12=A105,1,0)</f>
        <v>0</v>
      </c>
      <c r="J105">
        <f>IF(AtoutsHandicapsMatos!$C$13=A105,1,0)</f>
        <v>0</v>
      </c>
      <c r="K105">
        <f>IF(AtoutsHandicapsMatos!$C$14=A105,1,0)</f>
        <v>0</v>
      </c>
      <c r="L105">
        <f>IF('Perso Reloaded'!$L$20=A105,1,0)</f>
        <v>0</v>
      </c>
      <c r="M105">
        <f>IF('Perso Reloaded'!$L$21=A105,1,0)</f>
        <v>0</v>
      </c>
      <c r="N105">
        <f>IF('Perso Reloaded'!$L$22=A105,1,0)</f>
        <v>0</v>
      </c>
      <c r="O105">
        <f>IF('Perso Reloaded'!$L$23=A105,1,0)</f>
        <v>0</v>
      </c>
      <c r="P105">
        <f>IF('Perso Reloaded'!$L$24=A105,1,0)</f>
        <v>0</v>
      </c>
      <c r="Q105">
        <f>IF('Perso Reloaded'!$L$25=A105,1,0)</f>
        <v>0</v>
      </c>
      <c r="R105">
        <f>IF('Perso Reloaded'!$L$26=A105,1,0)</f>
        <v>0</v>
      </c>
      <c r="S105">
        <f>IF('Perso Reloaded'!$L$27=A105,1,0)</f>
        <v>0</v>
      </c>
      <c r="T105">
        <f t="shared" si="2"/>
        <v>0</v>
      </c>
      <c r="U105" t="b">
        <f t="shared" si="3"/>
        <v>0</v>
      </c>
    </row>
    <row r="106" spans="1:21" x14ac:dyDescent="0.3">
      <c r="A106" s="65" t="str">
        <f>IF(EthniePerso="Indien","Don: Accouché par les esprits","Don: Né(e) à Noël/Naissance Difficile")</f>
        <v>Don: Né(e) à Noël/Naissance Difficile</v>
      </c>
      <c r="B106">
        <f>IF(AtoutsHandicapsMatos!$C$5=A106,1,0)</f>
        <v>0</v>
      </c>
      <c r="C106">
        <f>IF(AtoutsHandicapsMatos!$C$6=A106,1,0)</f>
        <v>0</v>
      </c>
      <c r="D106">
        <f>IF(AtoutsHandicapsMatos!$C$7=A106,1,0)</f>
        <v>0</v>
      </c>
      <c r="E106">
        <f>IF(AtoutsHandicapsMatos!$C$8=A106,1,0)</f>
        <v>0</v>
      </c>
      <c r="F106">
        <f>IF(AtoutsHandicapsMatos!$C$9=A106,1,0)</f>
        <v>0</v>
      </c>
      <c r="G106">
        <f>IF(AtoutsHandicapsMatos!$C$10=A106,1,0)</f>
        <v>0</v>
      </c>
      <c r="H106">
        <f>IF(AtoutsHandicapsMatos!$C$11=A106,1,0)</f>
        <v>0</v>
      </c>
      <c r="I106">
        <f>IF(AtoutsHandicapsMatos!$C$12=A106,1,0)</f>
        <v>0</v>
      </c>
      <c r="J106">
        <f>IF(AtoutsHandicapsMatos!$C$13=A106,1,0)</f>
        <v>0</v>
      </c>
      <c r="K106">
        <f>IF(AtoutsHandicapsMatos!$C$14=A106,1,0)</f>
        <v>0</v>
      </c>
      <c r="L106">
        <f>IF('Perso Reloaded'!$L$20=A106,1,0)</f>
        <v>0</v>
      </c>
      <c r="M106">
        <f>IF('Perso Reloaded'!$L$21=A106,1,0)</f>
        <v>0</v>
      </c>
      <c r="N106">
        <f>IF('Perso Reloaded'!$L$22=A106,1,0)</f>
        <v>0</v>
      </c>
      <c r="O106">
        <f>IF('Perso Reloaded'!$L$23=A106,1,0)</f>
        <v>0</v>
      </c>
      <c r="P106">
        <f>IF('Perso Reloaded'!$L$24=A106,1,0)</f>
        <v>0</v>
      </c>
      <c r="Q106">
        <f>IF('Perso Reloaded'!$L$25=A106,1,0)</f>
        <v>0</v>
      </c>
      <c r="R106">
        <f>IF('Perso Reloaded'!$L$26=A106,1,0)</f>
        <v>0</v>
      </c>
      <c r="S106">
        <f>IF('Perso Reloaded'!$L$27=A106,1,0)</f>
        <v>0</v>
      </c>
      <c r="T106">
        <f t="shared" si="2"/>
        <v>0</v>
      </c>
      <c r="U106" t="b">
        <f t="shared" si="3"/>
        <v>0</v>
      </c>
    </row>
    <row r="107" spans="1:21" x14ac:dyDescent="0.3">
      <c r="A107" s="65" t="str">
        <f>IF(SexePerso="Féminin","Don: Née dans la Tourmente",IF('Perso Reloaded'!$C$6="Féminin","Don: Née dans la Tourmente","Don: Né dans la Tourmente"))</f>
        <v>Don: Né dans la Tourmente</v>
      </c>
      <c r="B107">
        <f>IF(AtoutsHandicapsMatos!$C$5=A107,1,0)</f>
        <v>0</v>
      </c>
      <c r="C107">
        <f>IF(AtoutsHandicapsMatos!$C$6=A107,1,0)</f>
        <v>0</v>
      </c>
      <c r="D107">
        <f>IF(AtoutsHandicapsMatos!$C$7=A107,1,0)</f>
        <v>0</v>
      </c>
      <c r="E107">
        <f>IF(AtoutsHandicapsMatos!$C$8=A107,1,0)</f>
        <v>0</v>
      </c>
      <c r="F107">
        <f>IF(AtoutsHandicapsMatos!$C$9=A107,1,0)</f>
        <v>0</v>
      </c>
      <c r="G107">
        <f>IF(AtoutsHandicapsMatos!$C$10=A107,1,0)</f>
        <v>0</v>
      </c>
      <c r="H107">
        <f>IF(AtoutsHandicapsMatos!$C$11=A107,1,0)</f>
        <v>0</v>
      </c>
      <c r="I107">
        <f>IF(AtoutsHandicapsMatos!$C$12=A107,1,0)</f>
        <v>0</v>
      </c>
      <c r="J107">
        <f>IF(AtoutsHandicapsMatos!$C$13=A107,1,0)</f>
        <v>0</v>
      </c>
      <c r="K107">
        <f>IF(AtoutsHandicapsMatos!$C$14=A107,1,0)</f>
        <v>0</v>
      </c>
      <c r="L107">
        <f>IF('Perso Reloaded'!$L$20=A107,1,0)</f>
        <v>0</v>
      </c>
      <c r="M107">
        <f>IF('Perso Reloaded'!$L$21=A107,1,0)</f>
        <v>0</v>
      </c>
      <c r="N107">
        <f>IF('Perso Reloaded'!$L$22=A107,1,0)</f>
        <v>0</v>
      </c>
      <c r="O107">
        <f>IF('Perso Reloaded'!$L$23=A107,1,0)</f>
        <v>0</v>
      </c>
      <c r="P107">
        <f>IF('Perso Reloaded'!$L$24=A107,1,0)</f>
        <v>0</v>
      </c>
      <c r="Q107">
        <f>IF('Perso Reloaded'!$L$25=A107,1,0)</f>
        <v>0</v>
      </c>
      <c r="R107">
        <f>IF('Perso Reloaded'!$L$26=A107,1,0)</f>
        <v>0</v>
      </c>
      <c r="S107">
        <f>IF('Perso Reloaded'!$L$27=A107,1,0)</f>
        <v>0</v>
      </c>
      <c r="T107">
        <f t="shared" si="2"/>
        <v>0</v>
      </c>
      <c r="U107" t="b">
        <f t="shared" si="3"/>
        <v>0</v>
      </c>
    </row>
    <row r="108" spans="1:21" x14ac:dyDescent="0.3">
      <c r="A108" s="65" t="str">
        <f>IF(OR(SexePerso="Féminin",'Perso Reloaded'!$C$6="Féminin"),"Don: Née de bon augure","Don: Né de bon augure")</f>
        <v>Don: Né de bon augure</v>
      </c>
      <c r="B108">
        <f>IF(AtoutsHandicapsMatos!$C$5=A108,1,0)</f>
        <v>0</v>
      </c>
      <c r="C108">
        <f>IF(AtoutsHandicapsMatos!$C$6=A108,1,0)</f>
        <v>0</v>
      </c>
      <c r="D108">
        <f>IF(AtoutsHandicapsMatos!$C$7=A108,1,0)</f>
        <v>0</v>
      </c>
      <c r="E108">
        <f>IF(AtoutsHandicapsMatos!$C$8=A108,1,0)</f>
        <v>0</v>
      </c>
      <c r="F108">
        <f>IF(AtoutsHandicapsMatos!$C$9=A108,1,0)</f>
        <v>0</v>
      </c>
      <c r="G108">
        <f>IF(AtoutsHandicapsMatos!$C$10=A108,1,0)</f>
        <v>0</v>
      </c>
      <c r="H108">
        <f>IF(AtoutsHandicapsMatos!$C$11=A108,1,0)</f>
        <v>0</v>
      </c>
      <c r="I108">
        <f>IF(AtoutsHandicapsMatos!$C$12=A108,1,0)</f>
        <v>0</v>
      </c>
      <c r="J108">
        <f>IF(AtoutsHandicapsMatos!$C$13=A108,1,0)</f>
        <v>0</v>
      </c>
      <c r="K108">
        <f>IF(AtoutsHandicapsMatos!$C$14=A108,1,0)</f>
        <v>0</v>
      </c>
      <c r="L108">
        <f>IF('Perso Reloaded'!$L$20=A108,1,0)</f>
        <v>0</v>
      </c>
      <c r="M108">
        <f>IF('Perso Reloaded'!$L$21=A108,1,0)</f>
        <v>0</v>
      </c>
      <c r="N108">
        <f>IF('Perso Reloaded'!$L$22=A108,1,0)</f>
        <v>0</v>
      </c>
      <c r="O108">
        <f>IF('Perso Reloaded'!$L$23=A108,1,0)</f>
        <v>0</v>
      </c>
      <c r="P108">
        <f>IF('Perso Reloaded'!$L$24=A108,1,0)</f>
        <v>0</v>
      </c>
      <c r="Q108">
        <f>IF('Perso Reloaded'!$L$25=A108,1,0)</f>
        <v>0</v>
      </c>
      <c r="R108">
        <f>IF('Perso Reloaded'!$L$26=A108,1,0)</f>
        <v>0</v>
      </c>
      <c r="S108">
        <f>IF('Perso Reloaded'!$L$27=A108,1,0)</f>
        <v>0</v>
      </c>
      <c r="T108">
        <f t="shared" si="2"/>
        <v>0</v>
      </c>
      <c r="U108" t="b">
        <f t="shared" si="3"/>
        <v>0</v>
      </c>
    </row>
    <row r="109" spans="1:21" x14ac:dyDescent="0.3">
      <c r="A109" s="65" t="str">
        <f>IF(SexePerso="Féminin","Don: Née pendant halloween/Le jour de la Toussaint",IF('Perso Reloaded'!$C$6="Féminin","Don: Née pendant halloween/Le jour de la Toussaint","Don: Né pendant halloween/Le jour de la Toussaint"))</f>
        <v>Don: Né pendant halloween/Le jour de la Toussaint</v>
      </c>
      <c r="B109">
        <f>IF(AtoutsHandicapsMatos!$C$5=A109,1,0)</f>
        <v>0</v>
      </c>
      <c r="C109">
        <f>IF(AtoutsHandicapsMatos!$C$6=A109,1,0)</f>
        <v>0</v>
      </c>
      <c r="D109">
        <f>IF(AtoutsHandicapsMatos!$C$7=A109,1,0)</f>
        <v>0</v>
      </c>
      <c r="E109">
        <f>IF(AtoutsHandicapsMatos!$C$8=A109,1,0)</f>
        <v>0</v>
      </c>
      <c r="F109">
        <f>IF(AtoutsHandicapsMatos!$C$9=A109,1,0)</f>
        <v>0</v>
      </c>
      <c r="G109">
        <f>IF(AtoutsHandicapsMatos!$C$10=A109,1,0)</f>
        <v>0</v>
      </c>
      <c r="H109">
        <f>IF(AtoutsHandicapsMatos!$C$11=A109,1,0)</f>
        <v>0</v>
      </c>
      <c r="I109">
        <f>IF(AtoutsHandicapsMatos!$C$12=A109,1,0)</f>
        <v>0</v>
      </c>
      <c r="J109">
        <f>IF(AtoutsHandicapsMatos!$C$13=A109,1,0)</f>
        <v>0</v>
      </c>
      <c r="K109">
        <f>IF(AtoutsHandicapsMatos!$C$14=A109,1,0)</f>
        <v>0</v>
      </c>
      <c r="L109">
        <f>IF('Perso Reloaded'!$L$20=A109,1,0)</f>
        <v>0</v>
      </c>
      <c r="M109">
        <f>IF('Perso Reloaded'!$L$21=A109,1,0)</f>
        <v>0</v>
      </c>
      <c r="N109">
        <f>IF('Perso Reloaded'!$L$22=A109,1,0)</f>
        <v>0</v>
      </c>
      <c r="O109">
        <f>IF('Perso Reloaded'!$L$23=A109,1,0)</f>
        <v>0</v>
      </c>
      <c r="P109">
        <f>IF('Perso Reloaded'!$L$24=A109,1,0)</f>
        <v>0</v>
      </c>
      <c r="Q109">
        <f>IF('Perso Reloaded'!$L$25=A109,1,0)</f>
        <v>0</v>
      </c>
      <c r="R109">
        <f>IF('Perso Reloaded'!$L$26=A109,1,0)</f>
        <v>0</v>
      </c>
      <c r="S109">
        <f>IF('Perso Reloaded'!$L$27=A109,1,0)</f>
        <v>0</v>
      </c>
      <c r="T109">
        <f t="shared" si="2"/>
        <v>0</v>
      </c>
      <c r="U109" t="b">
        <f t="shared" si="3"/>
        <v>0</v>
      </c>
    </row>
    <row r="110" spans="1:21" x14ac:dyDescent="0.3">
      <c r="A110" s="65" t="str">
        <f>IF(SexePerso="Féminin","Don: Née sous la lune rousse",IF('Perso Reloaded'!$C$6="Féminin","Don: Née sous la lune rousse","Don: Né sous la lune rousse"))</f>
        <v>Don: Né sous la lune rousse</v>
      </c>
      <c r="B110">
        <f>IF(AtoutsHandicapsMatos!$C$5=A110,1,0)</f>
        <v>0</v>
      </c>
      <c r="C110">
        <f>IF(AtoutsHandicapsMatos!$C$6=A110,1,0)</f>
        <v>0</v>
      </c>
      <c r="D110">
        <f>IF(AtoutsHandicapsMatos!$C$7=A110,1,0)</f>
        <v>0</v>
      </c>
      <c r="E110">
        <f>IF(AtoutsHandicapsMatos!$C$8=A110,1,0)</f>
        <v>0</v>
      </c>
      <c r="F110">
        <f>IF(AtoutsHandicapsMatos!$C$9=A110,1,0)</f>
        <v>0</v>
      </c>
      <c r="G110">
        <f>IF(AtoutsHandicapsMatos!$C$10=A110,1,0)</f>
        <v>0</v>
      </c>
      <c r="H110">
        <f>IF(AtoutsHandicapsMatos!$C$11=A110,1,0)</f>
        <v>0</v>
      </c>
      <c r="I110">
        <f>IF(AtoutsHandicapsMatos!$C$12=A110,1,0)</f>
        <v>0</v>
      </c>
      <c r="J110">
        <f>IF(AtoutsHandicapsMatos!$C$13=A110,1,0)</f>
        <v>0</v>
      </c>
      <c r="K110">
        <f>IF(AtoutsHandicapsMatos!$C$14=A110,1,0)</f>
        <v>0</v>
      </c>
      <c r="L110">
        <f>IF('Perso Reloaded'!$L$20=A110,1,0)</f>
        <v>0</v>
      </c>
      <c r="M110">
        <f>IF('Perso Reloaded'!$L$21=A110,1,0)</f>
        <v>0</v>
      </c>
      <c r="N110">
        <f>IF('Perso Reloaded'!$L$22=A110,1,0)</f>
        <v>0</v>
      </c>
      <c r="O110">
        <f>IF('Perso Reloaded'!$L$23=A110,1,0)</f>
        <v>0</v>
      </c>
      <c r="P110">
        <f>IF('Perso Reloaded'!$L$24=A110,1,0)</f>
        <v>0</v>
      </c>
      <c r="Q110">
        <f>IF('Perso Reloaded'!$L$25=A110,1,0)</f>
        <v>0</v>
      </c>
      <c r="R110">
        <f>IF('Perso Reloaded'!$L$26=A110,1,0)</f>
        <v>0</v>
      </c>
      <c r="S110">
        <f>IF('Perso Reloaded'!$L$27=A110,1,0)</f>
        <v>0</v>
      </c>
      <c r="T110">
        <f t="shared" si="2"/>
        <v>0</v>
      </c>
      <c r="U110" t="b">
        <f t="shared" si="3"/>
        <v>0</v>
      </c>
    </row>
    <row r="111" spans="1:21" x14ac:dyDescent="0.3">
      <c r="A111" s="65" t="str">
        <f>IF(SexePerso="Féminin","Don: Ouragan/ Touchée par les Esprits",IF('Perso Reloaded'!$C$6="Féminin","Don: Ouragan/ Touchée par les Esprits","Don: Ouragan/ Touché par les Esprits"))</f>
        <v>Don: Ouragan/ Touché par les Esprits</v>
      </c>
      <c r="B111">
        <f>IF(AtoutsHandicapsMatos!$C$5=A111,1,0)</f>
        <v>0</v>
      </c>
      <c r="C111">
        <f>IF(AtoutsHandicapsMatos!$C$6=A111,1,0)</f>
        <v>0</v>
      </c>
      <c r="D111">
        <f>IF(AtoutsHandicapsMatos!$C$7=A111,1,0)</f>
        <v>0</v>
      </c>
      <c r="E111">
        <f>IF(AtoutsHandicapsMatos!$C$8=A111,1,0)</f>
        <v>0</v>
      </c>
      <c r="F111">
        <f>IF(AtoutsHandicapsMatos!$C$9=A111,1,0)</f>
        <v>0</v>
      </c>
      <c r="G111">
        <f>IF(AtoutsHandicapsMatos!$C$10=A111,1,0)</f>
        <v>0</v>
      </c>
      <c r="H111">
        <f>IF(AtoutsHandicapsMatos!$C$11=A111,1,0)</f>
        <v>0</v>
      </c>
      <c r="I111">
        <f>IF(AtoutsHandicapsMatos!$C$12=A111,1,0)</f>
        <v>0</v>
      </c>
      <c r="J111">
        <f>IF(AtoutsHandicapsMatos!$C$13=A111,1,0)</f>
        <v>0</v>
      </c>
      <c r="K111">
        <f>IF(AtoutsHandicapsMatos!$C$14=A111,1,0)</f>
        <v>0</v>
      </c>
      <c r="L111">
        <f>IF('Perso Reloaded'!$L$20=A111,1,0)</f>
        <v>0</v>
      </c>
      <c r="M111">
        <f>IF('Perso Reloaded'!$L$21=A111,1,0)</f>
        <v>0</v>
      </c>
      <c r="N111">
        <f>IF('Perso Reloaded'!$L$22=A111,1,0)</f>
        <v>0</v>
      </c>
      <c r="O111">
        <f>IF('Perso Reloaded'!$L$23=A111,1,0)</f>
        <v>0</v>
      </c>
      <c r="P111">
        <f>IF('Perso Reloaded'!$L$24=A111,1,0)</f>
        <v>0</v>
      </c>
      <c r="Q111">
        <f>IF('Perso Reloaded'!$L$25=A111,1,0)</f>
        <v>0</v>
      </c>
      <c r="R111">
        <f>IF('Perso Reloaded'!$L$26=A111,1,0)</f>
        <v>0</v>
      </c>
      <c r="S111">
        <f>IF('Perso Reloaded'!$L$27=A111,1,0)</f>
        <v>0</v>
      </c>
      <c r="T111">
        <f t="shared" si="2"/>
        <v>0</v>
      </c>
      <c r="U111" t="b">
        <f t="shared" si="3"/>
        <v>0</v>
      </c>
    </row>
    <row r="112" spans="1:21" x14ac:dyDescent="0.3">
      <c r="A112" s="65" t="s">
        <v>298</v>
      </c>
      <c r="B112">
        <f>IF(AtoutsHandicapsMatos!$C$5=A112,1,0)</f>
        <v>0</v>
      </c>
      <c r="C112">
        <f>IF(AtoutsHandicapsMatos!$C$6=A112,1,0)</f>
        <v>0</v>
      </c>
      <c r="D112">
        <f>IF(AtoutsHandicapsMatos!$C$7=A112,1,0)</f>
        <v>0</v>
      </c>
      <c r="E112">
        <f>IF(AtoutsHandicapsMatos!$C$8=A112,1,0)</f>
        <v>0</v>
      </c>
      <c r="F112">
        <f>IF(AtoutsHandicapsMatos!$C$9=A112,1,0)</f>
        <v>0</v>
      </c>
      <c r="G112">
        <f>IF(AtoutsHandicapsMatos!$C$10=A112,1,0)</f>
        <v>0</v>
      </c>
      <c r="H112">
        <f>IF(AtoutsHandicapsMatos!$C$11=A112,1,0)</f>
        <v>0</v>
      </c>
      <c r="I112">
        <f>IF(AtoutsHandicapsMatos!$C$12=A112,1,0)</f>
        <v>0</v>
      </c>
      <c r="J112">
        <f>IF(AtoutsHandicapsMatos!$C$13=A112,1,0)</f>
        <v>0</v>
      </c>
      <c r="K112">
        <f>IF(AtoutsHandicapsMatos!$C$14=A112,1,0)</f>
        <v>0</v>
      </c>
      <c r="L112">
        <f>IF('Perso Reloaded'!$L$20=A112,1,0)</f>
        <v>0</v>
      </c>
      <c r="M112">
        <f>IF('Perso Reloaded'!$L$21=A112,1,0)</f>
        <v>0</v>
      </c>
      <c r="N112">
        <f>IF('Perso Reloaded'!$L$22=A112,1,0)</f>
        <v>0</v>
      </c>
      <c r="O112">
        <f>IF('Perso Reloaded'!$L$23=A112,1,0)</f>
        <v>0</v>
      </c>
      <c r="P112">
        <f>IF('Perso Reloaded'!$L$24=A112,1,0)</f>
        <v>0</v>
      </c>
      <c r="Q112">
        <f>IF('Perso Reloaded'!$L$25=A112,1,0)</f>
        <v>0</v>
      </c>
      <c r="R112">
        <f>IF('Perso Reloaded'!$L$26=A112,1,0)</f>
        <v>0</v>
      </c>
      <c r="S112">
        <f>IF('Perso Reloaded'!$L$27=A112,1,0)</f>
        <v>0</v>
      </c>
      <c r="T112">
        <f t="shared" si="2"/>
        <v>0</v>
      </c>
      <c r="U112" t="b">
        <f t="shared" si="3"/>
        <v>0</v>
      </c>
    </row>
    <row r="113" spans="1:21" x14ac:dyDescent="0.3">
      <c r="A113" s="65" t="s">
        <v>3632</v>
      </c>
      <c r="B113">
        <f>IF(AtoutsHandicapsMatos!$C$5=A113,1,0)</f>
        <v>0</v>
      </c>
      <c r="C113">
        <f>IF(AtoutsHandicapsMatos!$C$6=A113,1,0)</f>
        <v>0</v>
      </c>
      <c r="D113">
        <f>IF(AtoutsHandicapsMatos!$C$7=A113,1,0)</f>
        <v>0</v>
      </c>
      <c r="E113">
        <f>IF(AtoutsHandicapsMatos!$C$8=A113,1,0)</f>
        <v>0</v>
      </c>
      <c r="F113">
        <f>IF(AtoutsHandicapsMatos!$C$9=A113,1,0)</f>
        <v>0</v>
      </c>
      <c r="G113">
        <f>IF(AtoutsHandicapsMatos!$C$10=A113,1,0)</f>
        <v>0</v>
      </c>
      <c r="H113">
        <f>IF(AtoutsHandicapsMatos!$C$11=A113,1,0)</f>
        <v>0</v>
      </c>
      <c r="I113">
        <f>IF(AtoutsHandicapsMatos!$C$12=A113,1,0)</f>
        <v>0</v>
      </c>
      <c r="J113">
        <f>IF(AtoutsHandicapsMatos!$C$13=A113,1,0)</f>
        <v>0</v>
      </c>
      <c r="K113">
        <f>IF(AtoutsHandicapsMatos!$C$14=A113,1,0)</f>
        <v>0</v>
      </c>
      <c r="L113">
        <f>IF('Perso Reloaded'!$L$20=A113,1,0)</f>
        <v>0</v>
      </c>
      <c r="M113">
        <f>IF('Perso Reloaded'!$L$21=A113,1,0)</f>
        <v>0</v>
      </c>
      <c r="N113">
        <f>IF('Perso Reloaded'!$L$22=A113,1,0)</f>
        <v>0</v>
      </c>
      <c r="O113">
        <f>IF('Perso Reloaded'!$L$23=A113,1,0)</f>
        <v>0</v>
      </c>
      <c r="P113">
        <f>IF('Perso Reloaded'!$L$24=A113,1,0)</f>
        <v>0</v>
      </c>
      <c r="Q113">
        <f>IF('Perso Reloaded'!$L$25=A113,1,0)</f>
        <v>0</v>
      </c>
      <c r="R113">
        <f>IF('Perso Reloaded'!$L$26=A113,1,0)</f>
        <v>0</v>
      </c>
      <c r="S113">
        <f>IF('Perso Reloaded'!$L$27=A113,1,0)</f>
        <v>0</v>
      </c>
      <c r="T113">
        <f t="shared" si="2"/>
        <v>0</v>
      </c>
      <c r="U113" t="b">
        <f t="shared" si="3"/>
        <v>0</v>
      </c>
    </row>
    <row r="114" spans="1:21" x14ac:dyDescent="0.3">
      <c r="A114" s="65" t="str">
        <f>IF(SexePerso="Féminin","Donneuse",IF('Perso Reloaded'!$C$6="Féminin","Donneuse","Donneur"))</f>
        <v>Donneur</v>
      </c>
      <c r="B114">
        <f>IF(AtoutsHandicapsMatos!$C$5=A114,1,0)</f>
        <v>0</v>
      </c>
      <c r="C114">
        <f>IF(AtoutsHandicapsMatos!$C$6=A114,1,0)</f>
        <v>0</v>
      </c>
      <c r="D114">
        <f>IF(AtoutsHandicapsMatos!$C$7=A114,1,0)</f>
        <v>0</v>
      </c>
      <c r="E114">
        <f>IF(AtoutsHandicapsMatos!$C$8=A114,1,0)</f>
        <v>0</v>
      </c>
      <c r="F114">
        <f>IF(AtoutsHandicapsMatos!$C$9=A114,1,0)</f>
        <v>0</v>
      </c>
      <c r="G114">
        <f>IF(AtoutsHandicapsMatos!$C$10=A114,1,0)</f>
        <v>0</v>
      </c>
      <c r="H114">
        <f>IF(AtoutsHandicapsMatos!$C$11=A114,1,0)</f>
        <v>0</v>
      </c>
      <c r="I114">
        <f>IF(AtoutsHandicapsMatos!$C$12=A114,1,0)</f>
        <v>0</v>
      </c>
      <c r="J114">
        <f>IF(AtoutsHandicapsMatos!$C$13=A114,1,0)</f>
        <v>0</v>
      </c>
      <c r="K114">
        <f>IF(AtoutsHandicapsMatos!$C$14=A114,1,0)</f>
        <v>0</v>
      </c>
      <c r="L114">
        <f>IF('Perso Reloaded'!$L$20=A114,1,0)</f>
        <v>0</v>
      </c>
      <c r="M114">
        <f>IF('Perso Reloaded'!$L$21=A114,1,0)</f>
        <v>0</v>
      </c>
      <c r="N114">
        <f>IF('Perso Reloaded'!$L$22=A114,1,0)</f>
        <v>0</v>
      </c>
      <c r="O114">
        <f>IF('Perso Reloaded'!$L$23=A114,1,0)</f>
        <v>0</v>
      </c>
      <c r="P114">
        <f>IF('Perso Reloaded'!$L$24=A114,1,0)</f>
        <v>0</v>
      </c>
      <c r="Q114">
        <f>IF('Perso Reloaded'!$L$25=A114,1,0)</f>
        <v>0</v>
      </c>
      <c r="R114">
        <f>IF('Perso Reloaded'!$L$26=A114,1,0)</f>
        <v>0</v>
      </c>
      <c r="S114">
        <f>IF('Perso Reloaded'!$L$27=A114,1,0)</f>
        <v>0</v>
      </c>
      <c r="T114">
        <f t="shared" si="2"/>
        <v>0</v>
      </c>
      <c r="U114" t="b">
        <f t="shared" si="3"/>
        <v>0</v>
      </c>
    </row>
    <row r="115" spans="1:21" x14ac:dyDescent="0.3">
      <c r="A115" s="65" t="s">
        <v>4804</v>
      </c>
      <c r="B115">
        <f>IF(AtoutsHandicapsMatos!$C$5=A115,1,0)</f>
        <v>0</v>
      </c>
      <c r="C115">
        <f>IF(AtoutsHandicapsMatos!$C$6=A115,1,0)</f>
        <v>0</v>
      </c>
      <c r="D115">
        <f>IF(AtoutsHandicapsMatos!$C$7=A115,1,0)</f>
        <v>0</v>
      </c>
      <c r="E115">
        <f>IF(AtoutsHandicapsMatos!$C$8=A115,1,0)</f>
        <v>0</v>
      </c>
      <c r="F115">
        <f>IF(AtoutsHandicapsMatos!$C$9=A115,1,0)</f>
        <v>0</v>
      </c>
      <c r="G115">
        <f>IF(AtoutsHandicapsMatos!$C$10=A115,1,0)</f>
        <v>0</v>
      </c>
      <c r="H115">
        <f>IF(AtoutsHandicapsMatos!$C$11=A115,1,0)</f>
        <v>0</v>
      </c>
      <c r="I115">
        <f>IF(AtoutsHandicapsMatos!$C$12=A115,1,0)</f>
        <v>0</v>
      </c>
      <c r="J115">
        <f>IF(AtoutsHandicapsMatos!$C$13=A115,1,0)</f>
        <v>0</v>
      </c>
      <c r="K115">
        <f>IF(AtoutsHandicapsMatos!$C$14=A115,1,0)</f>
        <v>0</v>
      </c>
      <c r="L115">
        <f>IF('Perso Reloaded'!$L$20=A115,1,0)</f>
        <v>0</v>
      </c>
      <c r="M115">
        <f>IF('Perso Reloaded'!$L$21=A115,1,0)</f>
        <v>0</v>
      </c>
      <c r="N115">
        <f>IF('Perso Reloaded'!$L$22=A115,1,0)</f>
        <v>0</v>
      </c>
      <c r="O115">
        <f>IF('Perso Reloaded'!$L$23=A115,1,0)</f>
        <v>0</v>
      </c>
      <c r="P115">
        <f>IF('Perso Reloaded'!$L$24=A115,1,0)</f>
        <v>0</v>
      </c>
      <c r="Q115">
        <f>IF('Perso Reloaded'!$L$25=A115,1,0)</f>
        <v>0</v>
      </c>
      <c r="R115">
        <f>IF('Perso Reloaded'!$L$26=A115,1,0)</f>
        <v>0</v>
      </c>
      <c r="S115">
        <f>IF('Perso Reloaded'!$L$27=A115,1,0)</f>
        <v>0</v>
      </c>
      <c r="T115">
        <f t="shared" si="2"/>
        <v>0</v>
      </c>
      <c r="U115" t="b">
        <f t="shared" si="3"/>
        <v>0</v>
      </c>
    </row>
    <row r="116" spans="1:21" x14ac:dyDescent="0.3">
      <c r="A116" s="65" t="s">
        <v>3959</v>
      </c>
      <c r="B116">
        <f>IF(AtoutsHandicapsMatos!$C$5=A116,1,0)</f>
        <v>0</v>
      </c>
      <c r="C116">
        <f>IF(AtoutsHandicapsMatos!$C$6=A116,1,0)</f>
        <v>0</v>
      </c>
      <c r="D116">
        <f>IF(AtoutsHandicapsMatos!$C$7=A116,1,0)</f>
        <v>0</v>
      </c>
      <c r="E116">
        <f>IF(AtoutsHandicapsMatos!$C$8=A116,1,0)</f>
        <v>0</v>
      </c>
      <c r="F116">
        <f>IF(AtoutsHandicapsMatos!$C$9=A116,1,0)</f>
        <v>0</v>
      </c>
      <c r="G116">
        <f>IF(AtoutsHandicapsMatos!$C$10=A116,1,0)</f>
        <v>0</v>
      </c>
      <c r="H116">
        <f>IF(AtoutsHandicapsMatos!$C$11=A116,1,0)</f>
        <v>0</v>
      </c>
      <c r="I116">
        <f>IF(AtoutsHandicapsMatos!$C$12=A116,1,0)</f>
        <v>0</v>
      </c>
      <c r="J116">
        <f>IF(AtoutsHandicapsMatos!$C$13=A116,1,0)</f>
        <v>0</v>
      </c>
      <c r="K116">
        <f>IF(AtoutsHandicapsMatos!$C$14=A116,1,0)</f>
        <v>0</v>
      </c>
      <c r="L116">
        <f>IF('Perso Reloaded'!$L$20=A116,1,0)</f>
        <v>0</v>
      </c>
      <c r="M116">
        <f>IF('Perso Reloaded'!$L$21=A116,1,0)</f>
        <v>0</v>
      </c>
      <c r="N116">
        <f>IF('Perso Reloaded'!$L$22=A116,1,0)</f>
        <v>0</v>
      </c>
      <c r="O116">
        <f>IF('Perso Reloaded'!$L$23=A116,1,0)</f>
        <v>0</v>
      </c>
      <c r="P116">
        <f>IF('Perso Reloaded'!$L$24=A116,1,0)</f>
        <v>0</v>
      </c>
      <c r="Q116">
        <f>IF('Perso Reloaded'!$L$25=A116,1,0)</f>
        <v>0</v>
      </c>
      <c r="R116">
        <f>IF('Perso Reloaded'!$L$26=A116,1,0)</f>
        <v>0</v>
      </c>
      <c r="S116">
        <f>IF('Perso Reloaded'!$L$27=A116,1,0)</f>
        <v>0</v>
      </c>
      <c r="T116">
        <f t="shared" si="2"/>
        <v>0</v>
      </c>
      <c r="U116" t="b">
        <f t="shared" si="3"/>
        <v>0</v>
      </c>
    </row>
    <row r="117" spans="1:21" x14ac:dyDescent="0.3">
      <c r="A117" s="65" t="str">
        <f>IF(SexePerso="Féminin","Dure à cuire",IF('Perso Reloaded'!$C$6="Féminin","Dure à cuire","Dur à cuire"))</f>
        <v>Dur à cuire</v>
      </c>
      <c r="B117">
        <f>IF(AtoutsHandicapsMatos!$C$5=A117,1,0)</f>
        <v>0</v>
      </c>
      <c r="C117">
        <f>IF(AtoutsHandicapsMatos!$C$6=A117,1,0)</f>
        <v>0</v>
      </c>
      <c r="D117">
        <f>IF(AtoutsHandicapsMatos!$C$7=A117,1,0)</f>
        <v>0</v>
      </c>
      <c r="E117">
        <f>IF(AtoutsHandicapsMatos!$C$8=A117,1,0)</f>
        <v>0</v>
      </c>
      <c r="F117">
        <f>IF(AtoutsHandicapsMatos!$C$9=A117,1,0)</f>
        <v>0</v>
      </c>
      <c r="G117">
        <f>IF(AtoutsHandicapsMatos!$C$10=A117,1,0)</f>
        <v>0</v>
      </c>
      <c r="H117">
        <f>IF(AtoutsHandicapsMatos!$C$11=A117,1,0)</f>
        <v>0</v>
      </c>
      <c r="I117">
        <f>IF(AtoutsHandicapsMatos!$C$12=A117,1,0)</f>
        <v>0</v>
      </c>
      <c r="J117">
        <f>IF(AtoutsHandicapsMatos!$C$13=A117,1,0)</f>
        <v>0</v>
      </c>
      <c r="K117">
        <f>IF(AtoutsHandicapsMatos!$C$14=A117,1,0)</f>
        <v>0</v>
      </c>
      <c r="L117">
        <f>IF('Perso Reloaded'!$L$20=A117,1,0)</f>
        <v>0</v>
      </c>
      <c r="M117">
        <f>IF('Perso Reloaded'!$L$21=A117,1,0)</f>
        <v>0</v>
      </c>
      <c r="N117">
        <f>IF('Perso Reloaded'!$L$22=A117,1,0)</f>
        <v>0</v>
      </c>
      <c r="O117">
        <f>IF('Perso Reloaded'!$L$23=A117,1,0)</f>
        <v>0</v>
      </c>
      <c r="P117">
        <f>IF('Perso Reloaded'!$L$24=A117,1,0)</f>
        <v>0</v>
      </c>
      <c r="Q117">
        <f>IF('Perso Reloaded'!$L$25=A117,1,0)</f>
        <v>0</v>
      </c>
      <c r="R117">
        <f>IF('Perso Reloaded'!$L$26=A117,1,0)</f>
        <v>0</v>
      </c>
      <c r="S117">
        <f>IF('Perso Reloaded'!$L$27=A117,1,0)</f>
        <v>0</v>
      </c>
      <c r="T117">
        <f t="shared" si="2"/>
        <v>0</v>
      </c>
      <c r="U117" t="b">
        <f t="shared" si="3"/>
        <v>0</v>
      </c>
    </row>
    <row r="118" spans="1:21" x14ac:dyDescent="0.3">
      <c r="A118" s="65" t="str">
        <f>IF(SexePerso="Féminin","Elève douée",IF('Perso Reloaded'!$C$6="Féminin","Elève douée","Elève doué"))</f>
        <v>Elève doué</v>
      </c>
      <c r="B118">
        <f>IF(AtoutsHandicapsMatos!$C$5=A118,1,0)</f>
        <v>0</v>
      </c>
      <c r="C118">
        <f>IF(AtoutsHandicapsMatos!$C$6=A118,1,0)</f>
        <v>0</v>
      </c>
      <c r="D118">
        <f>IF(AtoutsHandicapsMatos!$C$7=A118,1,0)</f>
        <v>0</v>
      </c>
      <c r="E118">
        <f>IF(AtoutsHandicapsMatos!$C$8=A118,1,0)</f>
        <v>0</v>
      </c>
      <c r="F118">
        <f>IF(AtoutsHandicapsMatos!$C$9=A118,1,0)</f>
        <v>0</v>
      </c>
      <c r="G118">
        <f>IF(AtoutsHandicapsMatos!$C$10=A118,1,0)</f>
        <v>0</v>
      </c>
      <c r="H118">
        <f>IF(AtoutsHandicapsMatos!$C$11=A118,1,0)</f>
        <v>0</v>
      </c>
      <c r="I118">
        <f>IF(AtoutsHandicapsMatos!$C$12=A118,1,0)</f>
        <v>0</v>
      </c>
      <c r="J118">
        <f>IF(AtoutsHandicapsMatos!$C$13=A118,1,0)</f>
        <v>0</v>
      </c>
      <c r="K118">
        <f>IF(AtoutsHandicapsMatos!$C$14=A118,1,0)</f>
        <v>0</v>
      </c>
      <c r="L118">
        <f>IF('Perso Reloaded'!$L$20=A118,1,0)</f>
        <v>0</v>
      </c>
      <c r="M118">
        <f>IF('Perso Reloaded'!$L$21=A118,1,0)</f>
        <v>0</v>
      </c>
      <c r="N118">
        <f>IF('Perso Reloaded'!$L$22=A118,1,0)</f>
        <v>0</v>
      </c>
      <c r="O118">
        <f>IF('Perso Reloaded'!$L$23=A118,1,0)</f>
        <v>0</v>
      </c>
      <c r="P118">
        <f>IF('Perso Reloaded'!$L$24=A118,1,0)</f>
        <v>0</v>
      </c>
      <c r="Q118">
        <f>IF('Perso Reloaded'!$L$25=A118,1,0)</f>
        <v>0</v>
      </c>
      <c r="R118">
        <f>IF('Perso Reloaded'!$L$26=A118,1,0)</f>
        <v>0</v>
      </c>
      <c r="S118">
        <f>IF('Perso Reloaded'!$L$27=A118,1,0)</f>
        <v>0</v>
      </c>
      <c r="T118">
        <f t="shared" si="2"/>
        <v>0</v>
      </c>
      <c r="U118" t="b">
        <f t="shared" si="3"/>
        <v>0</v>
      </c>
    </row>
    <row r="119" spans="1:21" x14ac:dyDescent="0.3">
      <c r="A119" s="65" t="str">
        <f>IF(SexePerso="Féminin","Elevée par les indiens",IF('Perso Reloaded'!$C$6="Féminin","Elevée par les indiens","Elevé par les indiens"))</f>
        <v>Elevé par les indiens</v>
      </c>
      <c r="B119">
        <f>IF(AtoutsHandicapsMatos!$C$5=A119,1,0)</f>
        <v>0</v>
      </c>
      <c r="C119">
        <f>IF(AtoutsHandicapsMatos!$C$6=A119,1,0)</f>
        <v>0</v>
      </c>
      <c r="D119">
        <f>IF(AtoutsHandicapsMatos!$C$7=A119,1,0)</f>
        <v>0</v>
      </c>
      <c r="E119">
        <f>IF(AtoutsHandicapsMatos!$C$8=A119,1,0)</f>
        <v>0</v>
      </c>
      <c r="F119">
        <f>IF(AtoutsHandicapsMatos!$C$9=A119,1,0)</f>
        <v>0</v>
      </c>
      <c r="G119">
        <f>IF(AtoutsHandicapsMatos!$C$10=A119,1,0)</f>
        <v>0</v>
      </c>
      <c r="H119">
        <f>IF(AtoutsHandicapsMatos!$C$11=A119,1,0)</f>
        <v>0</v>
      </c>
      <c r="I119">
        <f>IF(AtoutsHandicapsMatos!$C$12=A119,1,0)</f>
        <v>0</v>
      </c>
      <c r="J119">
        <f>IF(AtoutsHandicapsMatos!$C$13=A119,1,0)</f>
        <v>0</v>
      </c>
      <c r="K119">
        <f>IF(AtoutsHandicapsMatos!$C$14=A119,1,0)</f>
        <v>0</v>
      </c>
      <c r="L119">
        <f>IF('Perso Reloaded'!$L$20=A119,1,0)</f>
        <v>0</v>
      </c>
      <c r="M119">
        <f>IF('Perso Reloaded'!$L$21=A119,1,0)</f>
        <v>0</v>
      </c>
      <c r="N119">
        <f>IF('Perso Reloaded'!$L$22=A119,1,0)</f>
        <v>0</v>
      </c>
      <c r="O119">
        <f>IF('Perso Reloaded'!$L$23=A119,1,0)</f>
        <v>0</v>
      </c>
      <c r="P119">
        <f>IF('Perso Reloaded'!$L$24=A119,1,0)</f>
        <v>0</v>
      </c>
      <c r="Q119">
        <f>IF('Perso Reloaded'!$L$25=A119,1,0)</f>
        <v>0</v>
      </c>
      <c r="R119">
        <f>IF('Perso Reloaded'!$L$26=A119,1,0)</f>
        <v>0</v>
      </c>
      <c r="S119">
        <f>IF('Perso Reloaded'!$L$27=A119,1,0)</f>
        <v>0</v>
      </c>
      <c r="T119">
        <f t="shared" si="2"/>
        <v>0</v>
      </c>
      <c r="U119" t="b">
        <f t="shared" si="3"/>
        <v>0</v>
      </c>
    </row>
    <row r="120" spans="1:21" x14ac:dyDescent="0.3">
      <c r="A120" s="65" t="s">
        <v>5170</v>
      </c>
      <c r="B120">
        <f>IF(AtoutsHandicapsMatos!$C$5=A120,1,0)</f>
        <v>0</v>
      </c>
      <c r="C120">
        <f>IF(AtoutsHandicapsMatos!$C$6=A120,1,0)</f>
        <v>0</v>
      </c>
      <c r="D120">
        <f>IF(AtoutsHandicapsMatos!$C$7=A120,1,0)</f>
        <v>0</v>
      </c>
      <c r="E120">
        <f>IF(AtoutsHandicapsMatos!$C$8=A120,1,0)</f>
        <v>0</v>
      </c>
      <c r="F120">
        <f>IF(AtoutsHandicapsMatos!$C$9=A120,1,0)</f>
        <v>0</v>
      </c>
      <c r="G120">
        <f>IF(AtoutsHandicapsMatos!$C$10=A120,1,0)</f>
        <v>0</v>
      </c>
      <c r="H120">
        <f>IF(AtoutsHandicapsMatos!$C$11=A120,1,0)</f>
        <v>0</v>
      </c>
      <c r="I120">
        <f>IF(AtoutsHandicapsMatos!$C$12=A120,1,0)</f>
        <v>0</v>
      </c>
      <c r="J120">
        <f>IF(AtoutsHandicapsMatos!$C$13=A120,1,0)</f>
        <v>0</v>
      </c>
      <c r="K120">
        <f>IF(AtoutsHandicapsMatos!$C$14=A120,1,0)</f>
        <v>0</v>
      </c>
      <c r="L120">
        <f>IF('Perso Reloaded'!$L$20=A120,1,0)</f>
        <v>0</v>
      </c>
      <c r="M120">
        <f>IF('Perso Reloaded'!$L$21=A120,1,0)</f>
        <v>0</v>
      </c>
      <c r="N120">
        <f>IF('Perso Reloaded'!$L$22=A120,1,0)</f>
        <v>0</v>
      </c>
      <c r="O120">
        <f>IF('Perso Reloaded'!$L$23=A120,1,0)</f>
        <v>0</v>
      </c>
      <c r="P120">
        <f>IF('Perso Reloaded'!$L$24=A120,1,0)</f>
        <v>0</v>
      </c>
      <c r="Q120">
        <f>IF('Perso Reloaded'!$L$25=A120,1,0)</f>
        <v>0</v>
      </c>
      <c r="R120">
        <f>IF('Perso Reloaded'!$L$26=A120,1,0)</f>
        <v>0</v>
      </c>
      <c r="S120">
        <f>IF('Perso Reloaded'!$L$27=A120,1,0)</f>
        <v>0</v>
      </c>
      <c r="T120">
        <f t="shared" si="2"/>
        <v>0</v>
      </c>
      <c r="U120" t="b">
        <f t="shared" si="3"/>
        <v>0</v>
      </c>
    </row>
    <row r="121" spans="1:21" x14ac:dyDescent="0.3">
      <c r="A121" s="65" t="str">
        <f>IF(SexePerso="Féminin","Endurcie",IF('Perso Reloaded'!$C$6="Féminin","Endurcie","Endurci"))</f>
        <v>Endurci</v>
      </c>
      <c r="B121">
        <f>IF(AtoutsHandicapsMatos!$C$5=A121,1,0)</f>
        <v>0</v>
      </c>
      <c r="C121">
        <f>IF(AtoutsHandicapsMatos!$C$6=A121,1,0)</f>
        <v>0</v>
      </c>
      <c r="D121">
        <f>IF(AtoutsHandicapsMatos!$C$7=A121,1,0)</f>
        <v>0</v>
      </c>
      <c r="E121">
        <f>IF(AtoutsHandicapsMatos!$C$8=A121,1,0)</f>
        <v>0</v>
      </c>
      <c r="F121">
        <f>IF(AtoutsHandicapsMatos!$C$9=A121,1,0)</f>
        <v>0</v>
      </c>
      <c r="G121">
        <f>IF(AtoutsHandicapsMatos!$C$10=A121,1,0)</f>
        <v>0</v>
      </c>
      <c r="H121">
        <f>IF(AtoutsHandicapsMatos!$C$11=A121,1,0)</f>
        <v>0</v>
      </c>
      <c r="I121">
        <f>IF(AtoutsHandicapsMatos!$C$12=A121,1,0)</f>
        <v>0</v>
      </c>
      <c r="J121">
        <f>IF(AtoutsHandicapsMatos!$C$13=A121,1,0)</f>
        <v>0</v>
      </c>
      <c r="K121">
        <f>IF(AtoutsHandicapsMatos!$C$14=A121,1,0)</f>
        <v>0</v>
      </c>
      <c r="L121">
        <f>IF('Perso Reloaded'!$L$20=A121,1,0)</f>
        <v>0</v>
      </c>
      <c r="M121">
        <f>IF('Perso Reloaded'!$L$21=A121,1,0)</f>
        <v>0</v>
      </c>
      <c r="N121">
        <f>IF('Perso Reloaded'!$L$22=A121,1,0)</f>
        <v>0</v>
      </c>
      <c r="O121">
        <f>IF('Perso Reloaded'!$L$23=A121,1,0)</f>
        <v>0</v>
      </c>
      <c r="P121">
        <f>IF('Perso Reloaded'!$L$24=A121,1,0)</f>
        <v>0</v>
      </c>
      <c r="Q121">
        <f>IF('Perso Reloaded'!$L$25=A121,1,0)</f>
        <v>0</v>
      </c>
      <c r="R121">
        <f>IF('Perso Reloaded'!$L$26=A121,1,0)</f>
        <v>0</v>
      </c>
      <c r="S121">
        <f>IF('Perso Reloaded'!$L$27=A121,1,0)</f>
        <v>0</v>
      </c>
      <c r="T121">
        <f t="shared" si="2"/>
        <v>0</v>
      </c>
      <c r="U121" t="b">
        <f t="shared" si="3"/>
        <v>0</v>
      </c>
    </row>
    <row r="122" spans="1:21" x14ac:dyDescent="0.3">
      <c r="A122" s="65" t="str">
        <f>IF(SexePerso="Féminin","Enfant de la nature/Forestière",IF('Perso Reloaded'!$C$6="Féminin","Enfant de la nature/Forestère","Enfant de la nature/Forestier"))</f>
        <v>Enfant de la nature/Forestier</v>
      </c>
      <c r="B122">
        <f>IF(AtoutsHandicapsMatos!$C$5=A122,1,0)</f>
        <v>0</v>
      </c>
      <c r="C122">
        <f>IF(AtoutsHandicapsMatos!$C$6=A122,1,0)</f>
        <v>0</v>
      </c>
      <c r="D122">
        <f>IF(AtoutsHandicapsMatos!$C$7=A122,1,0)</f>
        <v>0</v>
      </c>
      <c r="E122">
        <f>IF(AtoutsHandicapsMatos!$C$8=A122,1,0)</f>
        <v>0</v>
      </c>
      <c r="F122">
        <f>IF(AtoutsHandicapsMatos!$C$9=A122,1,0)</f>
        <v>0</v>
      </c>
      <c r="G122">
        <f>IF(AtoutsHandicapsMatos!$C$10=A122,1,0)</f>
        <v>0</v>
      </c>
      <c r="H122">
        <f>IF(AtoutsHandicapsMatos!$C$11=A122,1,0)</f>
        <v>0</v>
      </c>
      <c r="I122">
        <f>IF(AtoutsHandicapsMatos!$C$12=A122,1,0)</f>
        <v>0</v>
      </c>
      <c r="J122">
        <f>IF(AtoutsHandicapsMatos!$C$13=A122,1,0)</f>
        <v>0</v>
      </c>
      <c r="K122">
        <f>IF(AtoutsHandicapsMatos!$C$14=A122,1,0)</f>
        <v>0</v>
      </c>
      <c r="L122">
        <f>IF('Perso Reloaded'!$L$20=A122,1,0)</f>
        <v>0</v>
      </c>
      <c r="M122">
        <f>IF('Perso Reloaded'!$L$21=A122,1,0)</f>
        <v>0</v>
      </c>
      <c r="N122">
        <f>IF('Perso Reloaded'!$L$22=A122,1,0)</f>
        <v>0</v>
      </c>
      <c r="O122">
        <f>IF('Perso Reloaded'!$L$23=A122,1,0)</f>
        <v>0</v>
      </c>
      <c r="P122">
        <f>IF('Perso Reloaded'!$L$24=A122,1,0)</f>
        <v>0</v>
      </c>
      <c r="Q122">
        <f>IF('Perso Reloaded'!$L$25=A122,1,0)</f>
        <v>0</v>
      </c>
      <c r="R122">
        <f>IF('Perso Reloaded'!$L$26=A122,1,0)</f>
        <v>0</v>
      </c>
      <c r="S122">
        <f>IF('Perso Reloaded'!$L$27=A122,1,0)</f>
        <v>0</v>
      </c>
      <c r="T122">
        <f t="shared" si="2"/>
        <v>0</v>
      </c>
      <c r="U122" t="b">
        <f t="shared" si="3"/>
        <v>0</v>
      </c>
    </row>
    <row r="123" spans="1:21" x14ac:dyDescent="0.3">
      <c r="A123" s="65" t="s">
        <v>4385</v>
      </c>
      <c r="B123">
        <f>IF(AtoutsHandicapsMatos!$C$5=A123,1,0)</f>
        <v>0</v>
      </c>
      <c r="C123">
        <f>IF(AtoutsHandicapsMatos!$C$6=A123,1,0)</f>
        <v>0</v>
      </c>
      <c r="D123">
        <f>IF(AtoutsHandicapsMatos!$C$7=A123,1,0)</f>
        <v>0</v>
      </c>
      <c r="E123">
        <f>IF(AtoutsHandicapsMatos!$C$8=A123,1,0)</f>
        <v>0</v>
      </c>
      <c r="F123">
        <f>IF(AtoutsHandicapsMatos!$C$9=A123,1,0)</f>
        <v>0</v>
      </c>
      <c r="G123">
        <f>IF(AtoutsHandicapsMatos!$C$10=A123,1,0)</f>
        <v>0</v>
      </c>
      <c r="H123">
        <f>IF(AtoutsHandicapsMatos!$C$11=A123,1,0)</f>
        <v>0</v>
      </c>
      <c r="I123">
        <f>IF(AtoutsHandicapsMatos!$C$12=A123,1,0)</f>
        <v>0</v>
      </c>
      <c r="J123">
        <f>IF(AtoutsHandicapsMatos!$C$13=A123,1,0)</f>
        <v>0</v>
      </c>
      <c r="K123">
        <f>IF(AtoutsHandicapsMatos!$C$14=A123,1,0)</f>
        <v>0</v>
      </c>
      <c r="L123">
        <f>IF('Perso Reloaded'!$L$20=A123,1,0)</f>
        <v>0</v>
      </c>
      <c r="M123">
        <f>IF('Perso Reloaded'!$L$21=A123,1,0)</f>
        <v>0</v>
      </c>
      <c r="N123">
        <f>IF('Perso Reloaded'!$L$22=A123,1,0)</f>
        <v>0</v>
      </c>
      <c r="O123">
        <f>IF('Perso Reloaded'!$L$23=A123,1,0)</f>
        <v>0</v>
      </c>
      <c r="P123">
        <f>IF('Perso Reloaded'!$L$24=A123,1,0)</f>
        <v>0</v>
      </c>
      <c r="Q123">
        <f>IF('Perso Reloaded'!$L$25=A123,1,0)</f>
        <v>0</v>
      </c>
      <c r="R123">
        <f>IF('Perso Reloaded'!$L$26=A123,1,0)</f>
        <v>0</v>
      </c>
      <c r="S123">
        <f>IF('Perso Reloaded'!$L$27=A123,1,0)</f>
        <v>0</v>
      </c>
      <c r="T123">
        <f t="shared" si="2"/>
        <v>0</v>
      </c>
      <c r="U123" t="b">
        <f t="shared" si="3"/>
        <v>0</v>
      </c>
    </row>
    <row r="124" spans="1:21" x14ac:dyDescent="0.3">
      <c r="A124" s="65" t="str">
        <f>IF(SexePerso="Féminin","Enragée",IF('Perso Reloaded'!$C$6="Féminin","Enragée","Enragé"))</f>
        <v>Enragé</v>
      </c>
      <c r="B124">
        <f>IF(AtoutsHandicapsMatos!$C$5=A124,1,0)</f>
        <v>0</v>
      </c>
      <c r="C124">
        <f>IF(AtoutsHandicapsMatos!$C$6=A124,1,0)</f>
        <v>0</v>
      </c>
      <c r="D124">
        <f>IF(AtoutsHandicapsMatos!$C$7=A124,1,0)</f>
        <v>0</v>
      </c>
      <c r="E124">
        <f>IF(AtoutsHandicapsMatos!$C$8=A124,1,0)</f>
        <v>0</v>
      </c>
      <c r="F124">
        <f>IF(AtoutsHandicapsMatos!$C$9=A124,1,0)</f>
        <v>0</v>
      </c>
      <c r="G124">
        <f>IF(AtoutsHandicapsMatos!$C$10=A124,1,0)</f>
        <v>0</v>
      </c>
      <c r="H124">
        <f>IF(AtoutsHandicapsMatos!$C$11=A124,1,0)</f>
        <v>0</v>
      </c>
      <c r="I124">
        <f>IF(AtoutsHandicapsMatos!$C$12=A124,1,0)</f>
        <v>0</v>
      </c>
      <c r="J124">
        <f>IF(AtoutsHandicapsMatos!$C$13=A124,1,0)</f>
        <v>0</v>
      </c>
      <c r="K124">
        <f>IF(AtoutsHandicapsMatos!$C$14=A124,1,0)</f>
        <v>0</v>
      </c>
      <c r="L124">
        <f>IF('Perso Reloaded'!$L$20=A124,1,0)</f>
        <v>0</v>
      </c>
      <c r="M124">
        <f>IF('Perso Reloaded'!$L$21=A124,1,0)</f>
        <v>0</v>
      </c>
      <c r="N124">
        <f>IF('Perso Reloaded'!$L$22=A124,1,0)</f>
        <v>0</v>
      </c>
      <c r="O124">
        <f>IF('Perso Reloaded'!$L$23=A124,1,0)</f>
        <v>0</v>
      </c>
      <c r="P124">
        <f>IF('Perso Reloaded'!$L$24=A124,1,0)</f>
        <v>0</v>
      </c>
      <c r="Q124">
        <f>IF('Perso Reloaded'!$L$25=A124,1,0)</f>
        <v>0</v>
      </c>
      <c r="R124">
        <f>IF('Perso Reloaded'!$L$26=A124,1,0)</f>
        <v>0</v>
      </c>
      <c r="S124">
        <f>IF('Perso Reloaded'!$L$27=A124,1,0)</f>
        <v>0</v>
      </c>
      <c r="T124">
        <f t="shared" si="2"/>
        <v>0</v>
      </c>
      <c r="U124" t="b">
        <f t="shared" si="3"/>
        <v>0</v>
      </c>
    </row>
    <row r="125" spans="1:21" x14ac:dyDescent="0.3">
      <c r="A125" s="65" t="str">
        <f>IF(SexePerso="Féminin","Erudite",IF('Perso Reloaded'!$C$6="Féminin","Erudite","Erudit"))</f>
        <v>Erudit</v>
      </c>
      <c r="B125">
        <f>IF(AtoutsHandicapsMatos!$C$5=A125,1,0)</f>
        <v>0</v>
      </c>
      <c r="C125">
        <f>IF(AtoutsHandicapsMatos!$C$6=A125,1,0)</f>
        <v>0</v>
      </c>
      <c r="D125">
        <f>IF(AtoutsHandicapsMatos!$C$7=A125,1,0)</f>
        <v>0</v>
      </c>
      <c r="E125">
        <f>IF(AtoutsHandicapsMatos!$C$8=A125,1,0)</f>
        <v>0</v>
      </c>
      <c r="F125">
        <f>IF(AtoutsHandicapsMatos!$C$9=A125,1,0)</f>
        <v>0</v>
      </c>
      <c r="G125">
        <f>IF(AtoutsHandicapsMatos!$C$10=A125,1,0)</f>
        <v>0</v>
      </c>
      <c r="H125">
        <f>IF(AtoutsHandicapsMatos!$C$11=A125,1,0)</f>
        <v>0</v>
      </c>
      <c r="I125">
        <f>IF(AtoutsHandicapsMatos!$C$12=A125,1,0)</f>
        <v>0</v>
      </c>
      <c r="J125">
        <f>IF(AtoutsHandicapsMatos!$C$13=A125,1,0)</f>
        <v>0</v>
      </c>
      <c r="K125">
        <f>IF(AtoutsHandicapsMatos!$C$14=A125,1,0)</f>
        <v>0</v>
      </c>
      <c r="L125">
        <f>IF('Perso Reloaded'!$L$20=A125,1,0)</f>
        <v>0</v>
      </c>
      <c r="M125">
        <f>IF('Perso Reloaded'!$L$21=A125,1,0)</f>
        <v>0</v>
      </c>
      <c r="N125">
        <f>IF('Perso Reloaded'!$L$22=A125,1,0)</f>
        <v>0</v>
      </c>
      <c r="O125">
        <f>IF('Perso Reloaded'!$L$23=A125,1,0)</f>
        <v>0</v>
      </c>
      <c r="P125">
        <f>IF('Perso Reloaded'!$L$24=A125,1,0)</f>
        <v>0</v>
      </c>
      <c r="Q125">
        <f>IF('Perso Reloaded'!$L$25=A125,1,0)</f>
        <v>0</v>
      </c>
      <c r="R125">
        <f>IF('Perso Reloaded'!$L$26=A125,1,0)</f>
        <v>0</v>
      </c>
      <c r="S125">
        <f>IF('Perso Reloaded'!$L$27=A125,1,0)</f>
        <v>0</v>
      </c>
      <c r="T125">
        <f t="shared" si="2"/>
        <v>0</v>
      </c>
      <c r="U125" t="b">
        <f t="shared" si="3"/>
        <v>0</v>
      </c>
    </row>
    <row r="126" spans="1:21" x14ac:dyDescent="0.3">
      <c r="A126" s="65" t="s">
        <v>4697</v>
      </c>
      <c r="B126">
        <f>IF(AtoutsHandicapsMatos!$C$5=A126,1,0)</f>
        <v>0</v>
      </c>
      <c r="C126">
        <f>IF(AtoutsHandicapsMatos!$C$6=A126,1,0)</f>
        <v>0</v>
      </c>
      <c r="D126">
        <f>IF(AtoutsHandicapsMatos!$C$7=A126,1,0)</f>
        <v>0</v>
      </c>
      <c r="E126">
        <f>IF(AtoutsHandicapsMatos!$C$8=A126,1,0)</f>
        <v>0</v>
      </c>
      <c r="F126">
        <f>IF(AtoutsHandicapsMatos!$C$9=A126,1,0)</f>
        <v>0</v>
      </c>
      <c r="G126">
        <f>IF(AtoutsHandicapsMatos!$C$10=A126,1,0)</f>
        <v>0</v>
      </c>
      <c r="H126">
        <f>IF(AtoutsHandicapsMatos!$C$11=A126,1,0)</f>
        <v>0</v>
      </c>
      <c r="I126">
        <f>IF(AtoutsHandicapsMatos!$C$12=A126,1,0)</f>
        <v>0</v>
      </c>
      <c r="J126">
        <f>IF(AtoutsHandicapsMatos!$C$13=A126,1,0)</f>
        <v>0</v>
      </c>
      <c r="K126">
        <f>IF(AtoutsHandicapsMatos!$C$14=A126,1,0)</f>
        <v>0</v>
      </c>
      <c r="L126">
        <f>IF('Perso Reloaded'!$L$20=A126,1,0)</f>
        <v>0</v>
      </c>
      <c r="M126">
        <f>IF('Perso Reloaded'!$L$21=A126,1,0)</f>
        <v>0</v>
      </c>
      <c r="N126">
        <f>IF('Perso Reloaded'!$L$22=A126,1,0)</f>
        <v>0</v>
      </c>
      <c r="O126">
        <f>IF('Perso Reloaded'!$L$23=A126,1,0)</f>
        <v>0</v>
      </c>
      <c r="P126">
        <f>IF('Perso Reloaded'!$L$24=A126,1,0)</f>
        <v>0</v>
      </c>
      <c r="Q126">
        <f>IF('Perso Reloaded'!$L$25=A126,1,0)</f>
        <v>0</v>
      </c>
      <c r="R126">
        <f>IF('Perso Reloaded'!$L$26=A126,1,0)</f>
        <v>0</v>
      </c>
      <c r="S126">
        <f>IF('Perso Reloaded'!$L$27=A126,1,0)</f>
        <v>0</v>
      </c>
      <c r="T126">
        <f t="shared" si="2"/>
        <v>0</v>
      </c>
      <c r="U126" t="b">
        <f t="shared" si="3"/>
        <v>0</v>
      </c>
    </row>
    <row r="127" spans="1:21" x14ac:dyDescent="0.3">
      <c r="A127" s="65" t="str">
        <f>IF(SexePerso="Féminin","Esprit Protecteur/Créatrice de fétiche (faible)",IF('Perso Reloaded'!$C$6="Féminin","Esprit Protecteur/Créatrice de fétiche (faible)","Esprit Protecteur/Créateur de fétiche (faible)"))</f>
        <v>Esprit Protecteur/Créateur de fétiche (faible)</v>
      </c>
      <c r="B127">
        <f>IF(AtoutsHandicapsMatos!$C$5=A127,1,0)</f>
        <v>0</v>
      </c>
      <c r="C127">
        <f>IF(AtoutsHandicapsMatos!$C$6=A127,1,0)</f>
        <v>0</v>
      </c>
      <c r="D127">
        <f>IF(AtoutsHandicapsMatos!$C$7=A127,1,0)</f>
        <v>0</v>
      </c>
      <c r="E127">
        <f>IF(AtoutsHandicapsMatos!$C$8=A127,1,0)</f>
        <v>0</v>
      </c>
      <c r="F127">
        <f>IF(AtoutsHandicapsMatos!$C$9=A127,1,0)</f>
        <v>0</v>
      </c>
      <c r="G127">
        <f>IF(AtoutsHandicapsMatos!$C$10=A127,1,0)</f>
        <v>0</v>
      </c>
      <c r="H127">
        <f>IF(AtoutsHandicapsMatos!$C$11=A127,1,0)</f>
        <v>0</v>
      </c>
      <c r="I127">
        <f>IF(AtoutsHandicapsMatos!$C$12=A127,1,0)</f>
        <v>0</v>
      </c>
      <c r="J127">
        <f>IF(AtoutsHandicapsMatos!$C$13=A127,1,0)</f>
        <v>0</v>
      </c>
      <c r="K127">
        <f>IF(AtoutsHandicapsMatos!$C$14=A127,1,0)</f>
        <v>0</v>
      </c>
      <c r="L127">
        <f>IF('Perso Reloaded'!$L$20=A127,1,0)</f>
        <v>0</v>
      </c>
      <c r="M127">
        <f>IF('Perso Reloaded'!$L$21=A127,1,0)</f>
        <v>0</v>
      </c>
      <c r="N127">
        <f>IF('Perso Reloaded'!$L$22=A127,1,0)</f>
        <v>0</v>
      </c>
      <c r="O127">
        <f>IF('Perso Reloaded'!$L$23=A127,1,0)</f>
        <v>0</v>
      </c>
      <c r="P127">
        <f>IF('Perso Reloaded'!$L$24=A127,1,0)</f>
        <v>0</v>
      </c>
      <c r="Q127">
        <f>IF('Perso Reloaded'!$L$25=A127,1,0)</f>
        <v>0</v>
      </c>
      <c r="R127">
        <f>IF('Perso Reloaded'!$L$26=A127,1,0)</f>
        <v>0</v>
      </c>
      <c r="S127">
        <f>IF('Perso Reloaded'!$L$27=A127,1,0)</f>
        <v>0</v>
      </c>
      <c r="T127">
        <f t="shared" si="2"/>
        <v>0</v>
      </c>
      <c r="U127" t="b">
        <f t="shared" si="3"/>
        <v>0</v>
      </c>
    </row>
    <row r="128" spans="1:21" x14ac:dyDescent="0.3">
      <c r="A128" s="65" t="str">
        <f>IF(SexePerso="Féminin","Esprit Protecteur/Créatrice de fétiche (forte)",IF('Perso Reloaded'!$C$6="Féminin","Esprit Protecteur/Créatrice de fétiche (forte)","Esprit Protecteur/Créateur de fétiche (fort)"))</f>
        <v>Esprit Protecteur/Créateur de fétiche (fort)</v>
      </c>
      <c r="B128">
        <f>IF(AtoutsHandicapsMatos!$C$5=A128,1,0)</f>
        <v>0</v>
      </c>
      <c r="C128">
        <f>IF(AtoutsHandicapsMatos!$C$6=A128,1,0)</f>
        <v>0</v>
      </c>
      <c r="D128">
        <f>IF(AtoutsHandicapsMatos!$C$7=A128,1,0)</f>
        <v>0</v>
      </c>
      <c r="E128">
        <f>IF(AtoutsHandicapsMatos!$C$8=A128,1,0)</f>
        <v>0</v>
      </c>
      <c r="F128">
        <f>IF(AtoutsHandicapsMatos!$C$9=A128,1,0)</f>
        <v>0</v>
      </c>
      <c r="G128">
        <f>IF(AtoutsHandicapsMatos!$C$10=A128,1,0)</f>
        <v>0</v>
      </c>
      <c r="H128">
        <f>IF(AtoutsHandicapsMatos!$C$11=A128,1,0)</f>
        <v>0</v>
      </c>
      <c r="I128">
        <f>IF(AtoutsHandicapsMatos!$C$12=A128,1,0)</f>
        <v>0</v>
      </c>
      <c r="J128">
        <f>IF(AtoutsHandicapsMatos!$C$13=A128,1,0)</f>
        <v>0</v>
      </c>
      <c r="K128">
        <f>IF(AtoutsHandicapsMatos!$C$14=A128,1,0)</f>
        <v>0</v>
      </c>
      <c r="L128">
        <f>IF('Perso Reloaded'!$L$20=A128,1,0)</f>
        <v>0</v>
      </c>
      <c r="M128">
        <f>IF('Perso Reloaded'!$L$21=A128,1,0)</f>
        <v>0</v>
      </c>
      <c r="N128">
        <f>IF('Perso Reloaded'!$L$22=A128,1,0)</f>
        <v>0</v>
      </c>
      <c r="O128">
        <f>IF('Perso Reloaded'!$L$23=A128,1,0)</f>
        <v>0</v>
      </c>
      <c r="P128">
        <f>IF('Perso Reloaded'!$L$24=A128,1,0)</f>
        <v>0</v>
      </c>
      <c r="Q128">
        <f>IF('Perso Reloaded'!$L$25=A128,1,0)</f>
        <v>0</v>
      </c>
      <c r="R128">
        <f>IF('Perso Reloaded'!$L$26=A128,1,0)</f>
        <v>0</v>
      </c>
      <c r="S128">
        <f>IF('Perso Reloaded'!$L$27=A128,1,0)</f>
        <v>0</v>
      </c>
      <c r="T128">
        <f t="shared" si="2"/>
        <v>0</v>
      </c>
      <c r="U128" t="b">
        <f t="shared" si="3"/>
        <v>0</v>
      </c>
    </row>
    <row r="129" spans="1:21" x14ac:dyDescent="0.3">
      <c r="A129" s="65" t="str">
        <f>IF(SexePerso="Féminin","Esprit Protecteur/Créatrice de fétiche (moyenne)",IF('Perso Reloaded'!$C$6="Féminin","Esprit Protecteur/Créatrice de fétiche (moyenne)","Esprit Protecteur/Créateur de fétiche (moyen)"))</f>
        <v>Esprit Protecteur/Créateur de fétiche (moyen)</v>
      </c>
      <c r="B129">
        <f>IF(AtoutsHandicapsMatos!$C$5=A129,1,0)</f>
        <v>0</v>
      </c>
      <c r="C129">
        <f>IF(AtoutsHandicapsMatos!$C$6=A129,1,0)</f>
        <v>0</v>
      </c>
      <c r="D129">
        <f>IF(AtoutsHandicapsMatos!$C$7=A129,1,0)</f>
        <v>0</v>
      </c>
      <c r="E129">
        <f>IF(AtoutsHandicapsMatos!$C$8=A129,1,0)</f>
        <v>0</v>
      </c>
      <c r="F129">
        <f>IF(AtoutsHandicapsMatos!$C$9=A129,1,0)</f>
        <v>0</v>
      </c>
      <c r="G129">
        <f>IF(AtoutsHandicapsMatos!$C$10=A129,1,0)</f>
        <v>0</v>
      </c>
      <c r="H129">
        <f>IF(AtoutsHandicapsMatos!$C$11=A129,1,0)</f>
        <v>0</v>
      </c>
      <c r="I129">
        <f>IF(AtoutsHandicapsMatos!$C$12=A129,1,0)</f>
        <v>0</v>
      </c>
      <c r="J129">
        <f>IF(AtoutsHandicapsMatos!$C$13=A129,1,0)</f>
        <v>0</v>
      </c>
      <c r="K129">
        <f>IF(AtoutsHandicapsMatos!$C$14=A129,1,0)</f>
        <v>0</v>
      </c>
      <c r="L129">
        <f>IF('Perso Reloaded'!$L$20=A129,1,0)</f>
        <v>0</v>
      </c>
      <c r="M129">
        <f>IF('Perso Reloaded'!$L$21=A129,1,0)</f>
        <v>0</v>
      </c>
      <c r="N129">
        <f>IF('Perso Reloaded'!$L$22=A129,1,0)</f>
        <v>0</v>
      </c>
      <c r="O129">
        <f>IF('Perso Reloaded'!$L$23=A129,1,0)</f>
        <v>0</v>
      </c>
      <c r="P129">
        <f>IF('Perso Reloaded'!$L$24=A129,1,0)</f>
        <v>0</v>
      </c>
      <c r="Q129">
        <f>IF('Perso Reloaded'!$L$25=A129,1,0)</f>
        <v>0</v>
      </c>
      <c r="R129">
        <f>IF('Perso Reloaded'!$L$26=A129,1,0)</f>
        <v>0</v>
      </c>
      <c r="S129">
        <f>IF('Perso Reloaded'!$L$27=A129,1,0)</f>
        <v>0</v>
      </c>
      <c r="T129">
        <f t="shared" si="2"/>
        <v>0</v>
      </c>
      <c r="U129" t="b">
        <f t="shared" si="3"/>
        <v>0</v>
      </c>
    </row>
    <row r="130" spans="1:21" x14ac:dyDescent="0.3">
      <c r="A130" s="65" t="str">
        <f>IF(SexePerso="Féminin","Esprit Protecteur/Créatrice de fétiche (très faible)",IF('Perso Reloaded'!$C$6="Féminin","Esprit Protecteur/Créatrice de fétiche (très faible)","Esprit Protecteur/Créateur de fétiche (très faible)"))</f>
        <v>Esprit Protecteur/Créateur de fétiche (très faible)</v>
      </c>
      <c r="B130">
        <f>IF(AtoutsHandicapsMatos!$C$5=A130,1,0)</f>
        <v>0</v>
      </c>
      <c r="C130">
        <f>IF(AtoutsHandicapsMatos!$C$6=A130,1,0)</f>
        <v>0</v>
      </c>
      <c r="D130">
        <f>IF(AtoutsHandicapsMatos!$C$7=A130,1,0)</f>
        <v>0</v>
      </c>
      <c r="E130">
        <f>IF(AtoutsHandicapsMatos!$C$8=A130,1,0)</f>
        <v>0</v>
      </c>
      <c r="F130">
        <f>IF(AtoutsHandicapsMatos!$C$9=A130,1,0)</f>
        <v>0</v>
      </c>
      <c r="G130">
        <f>IF(AtoutsHandicapsMatos!$C$10=A130,1,0)</f>
        <v>0</v>
      </c>
      <c r="H130">
        <f>IF(AtoutsHandicapsMatos!$C$11=A130,1,0)</f>
        <v>0</v>
      </c>
      <c r="I130">
        <f>IF(AtoutsHandicapsMatos!$C$12=A130,1,0)</f>
        <v>0</v>
      </c>
      <c r="J130">
        <f>IF(AtoutsHandicapsMatos!$C$13=A130,1,0)</f>
        <v>0</v>
      </c>
      <c r="K130">
        <f>IF(AtoutsHandicapsMatos!$C$14=A130,1,0)</f>
        <v>0</v>
      </c>
      <c r="L130">
        <f>IF('Perso Reloaded'!$L$20=A130,1,0)</f>
        <v>0</v>
      </c>
      <c r="M130">
        <f>IF('Perso Reloaded'!$L$21=A130,1,0)</f>
        <v>0</v>
      </c>
      <c r="N130">
        <f>IF('Perso Reloaded'!$L$22=A130,1,0)</f>
        <v>0</v>
      </c>
      <c r="O130">
        <f>IF('Perso Reloaded'!$L$23=A130,1,0)</f>
        <v>0</v>
      </c>
      <c r="P130">
        <f>IF('Perso Reloaded'!$L$24=A130,1,0)</f>
        <v>0</v>
      </c>
      <c r="Q130">
        <f>IF('Perso Reloaded'!$L$25=A130,1,0)</f>
        <v>0</v>
      </c>
      <c r="R130">
        <f>IF('Perso Reloaded'!$L$26=A130,1,0)</f>
        <v>0</v>
      </c>
      <c r="S130">
        <f>IF('Perso Reloaded'!$L$27=A130,1,0)</f>
        <v>0</v>
      </c>
      <c r="T130">
        <f t="shared" si="2"/>
        <v>0</v>
      </c>
      <c r="U130" t="b">
        <f t="shared" si="3"/>
        <v>0</v>
      </c>
    </row>
    <row r="131" spans="1:21" x14ac:dyDescent="0.3">
      <c r="A131" s="65" t="str">
        <f>IF(SexePerso="Féminin","Esprit Protecteur/Créatrice de fétiche (très forte)",IF('Perso Reloaded'!$C$6="Féminin","Esprit Protecteur/Créatrice de fétiche (très forte)","Esprit Protecteur/Créateur de fétiche (très fort)"))</f>
        <v>Esprit Protecteur/Créateur de fétiche (très fort)</v>
      </c>
      <c r="B131">
        <f>IF(AtoutsHandicapsMatos!$C$5=A131,1,0)</f>
        <v>0</v>
      </c>
      <c r="C131">
        <f>IF(AtoutsHandicapsMatos!$C$6=A131,1,0)</f>
        <v>0</v>
      </c>
      <c r="D131">
        <f>IF(AtoutsHandicapsMatos!$C$7=A131,1,0)</f>
        <v>0</v>
      </c>
      <c r="E131">
        <f>IF(AtoutsHandicapsMatos!$C$8=A131,1,0)</f>
        <v>0</v>
      </c>
      <c r="F131">
        <f>IF(AtoutsHandicapsMatos!$C$9=A131,1,0)</f>
        <v>0</v>
      </c>
      <c r="G131">
        <f>IF(AtoutsHandicapsMatos!$C$10=A131,1,0)</f>
        <v>0</v>
      </c>
      <c r="H131">
        <f>IF(AtoutsHandicapsMatos!$C$11=A131,1,0)</f>
        <v>0</v>
      </c>
      <c r="I131">
        <f>IF(AtoutsHandicapsMatos!$C$12=A131,1,0)</f>
        <v>0</v>
      </c>
      <c r="J131">
        <f>IF(AtoutsHandicapsMatos!$C$13=A131,1,0)</f>
        <v>0</v>
      </c>
      <c r="K131">
        <f>IF(AtoutsHandicapsMatos!$C$14=A131,1,0)</f>
        <v>0</v>
      </c>
      <c r="L131">
        <f>IF('Perso Reloaded'!$L$20=A131,1,0)</f>
        <v>0</v>
      </c>
      <c r="M131">
        <f>IF('Perso Reloaded'!$L$21=A131,1,0)</f>
        <v>0</v>
      </c>
      <c r="N131">
        <f>IF('Perso Reloaded'!$L$22=A131,1,0)</f>
        <v>0</v>
      </c>
      <c r="O131">
        <f>IF('Perso Reloaded'!$L$23=A131,1,0)</f>
        <v>0</v>
      </c>
      <c r="P131">
        <f>IF('Perso Reloaded'!$L$24=A131,1,0)</f>
        <v>0</v>
      </c>
      <c r="Q131">
        <f>IF('Perso Reloaded'!$L$25=A131,1,0)</f>
        <v>0</v>
      </c>
      <c r="R131">
        <f>IF('Perso Reloaded'!$L$26=A131,1,0)</f>
        <v>0</v>
      </c>
      <c r="S131">
        <f>IF('Perso Reloaded'!$L$27=A131,1,0)</f>
        <v>0</v>
      </c>
      <c r="T131">
        <f t="shared" ref="T131:T196" si="5">SUM(B131:S131)</f>
        <v>0</v>
      </c>
      <c r="U131" t="b">
        <f t="shared" ref="U131:U196" si="6">IF(T131=0,FALSE,TRUE)</f>
        <v>0</v>
      </c>
    </row>
    <row r="132" spans="1:21" x14ac:dyDescent="0.3">
      <c r="A132" s="65" t="str">
        <f>IF(SexePerso="Féminin","Esprit vif/Vive",IF('Perso Reloaded'!$C$6="Féminin","Esprit vif/Vive","Esprit vif/Vif"))</f>
        <v>Esprit vif/Vif</v>
      </c>
      <c r="B132">
        <f>IF(AtoutsHandicapsMatos!$C$5=A132,1,0)</f>
        <v>0</v>
      </c>
      <c r="C132">
        <f>IF(AtoutsHandicapsMatos!$C$6=A132,1,0)</f>
        <v>0</v>
      </c>
      <c r="D132">
        <f>IF(AtoutsHandicapsMatos!$C$7=A132,1,0)</f>
        <v>0</v>
      </c>
      <c r="E132">
        <f>IF(AtoutsHandicapsMatos!$C$8=A132,1,0)</f>
        <v>0</v>
      </c>
      <c r="F132">
        <f>IF(AtoutsHandicapsMatos!$C$9=A132,1,0)</f>
        <v>0</v>
      </c>
      <c r="G132">
        <f>IF(AtoutsHandicapsMatos!$C$10=A132,1,0)</f>
        <v>0</v>
      </c>
      <c r="H132">
        <f>IF(AtoutsHandicapsMatos!$C$11=A132,1,0)</f>
        <v>0</v>
      </c>
      <c r="I132">
        <f>IF(AtoutsHandicapsMatos!$C$12=A132,1,0)</f>
        <v>0</v>
      </c>
      <c r="J132">
        <f>IF(AtoutsHandicapsMatos!$C$13=A132,1,0)</f>
        <v>0</v>
      </c>
      <c r="K132">
        <f>IF(AtoutsHandicapsMatos!$C$14=A132,1,0)</f>
        <v>0</v>
      </c>
      <c r="L132">
        <f>IF('Perso Reloaded'!$L$20=A132,1,0)</f>
        <v>0</v>
      </c>
      <c r="M132">
        <f>IF('Perso Reloaded'!$L$21=A132,1,0)</f>
        <v>0</v>
      </c>
      <c r="N132">
        <f>IF('Perso Reloaded'!$L$22=A132,1,0)</f>
        <v>0</v>
      </c>
      <c r="O132">
        <f>IF('Perso Reloaded'!$L$23=A132,1,0)</f>
        <v>0</v>
      </c>
      <c r="P132">
        <f>IF('Perso Reloaded'!$L$24=A132,1,0)</f>
        <v>0</v>
      </c>
      <c r="Q132">
        <f>IF('Perso Reloaded'!$L$25=A132,1,0)</f>
        <v>0</v>
      </c>
      <c r="R132">
        <f>IF('Perso Reloaded'!$L$26=A132,1,0)</f>
        <v>0</v>
      </c>
      <c r="S132">
        <f>IF('Perso Reloaded'!$L$27=A132,1,0)</f>
        <v>0</v>
      </c>
      <c r="T132">
        <f t="shared" si="5"/>
        <v>0</v>
      </c>
      <c r="U132" t="b">
        <f t="shared" si="6"/>
        <v>0</v>
      </c>
    </row>
    <row r="133" spans="1:21" x14ac:dyDescent="0.3">
      <c r="A133" s="65" t="s">
        <v>4825</v>
      </c>
      <c r="B133">
        <f>IF(AtoutsHandicapsMatos!$C$5=A133,1,0)</f>
        <v>0</v>
      </c>
      <c r="C133">
        <f>IF(AtoutsHandicapsMatos!$C$6=A133,1,0)</f>
        <v>0</v>
      </c>
      <c r="D133">
        <f>IF(AtoutsHandicapsMatos!$C$7=A133,1,0)</f>
        <v>0</v>
      </c>
      <c r="E133">
        <f>IF(AtoutsHandicapsMatos!$C$8=A133,1,0)</f>
        <v>0</v>
      </c>
      <c r="F133">
        <f>IF(AtoutsHandicapsMatos!$C$9=A133,1,0)</f>
        <v>0</v>
      </c>
      <c r="G133">
        <f>IF(AtoutsHandicapsMatos!$C$10=A133,1,0)</f>
        <v>0</v>
      </c>
      <c r="H133">
        <f>IF(AtoutsHandicapsMatos!$C$11=A133,1,0)</f>
        <v>0</v>
      </c>
      <c r="I133">
        <f>IF(AtoutsHandicapsMatos!$C$12=A133,1,0)</f>
        <v>0</v>
      </c>
      <c r="J133">
        <f>IF(AtoutsHandicapsMatos!$C$13=A133,1,0)</f>
        <v>0</v>
      </c>
      <c r="K133">
        <f>IF(AtoutsHandicapsMatos!$C$14=A133,1,0)</f>
        <v>0</v>
      </c>
      <c r="L133">
        <f>IF('Perso Reloaded'!$L$20=A133,1,0)</f>
        <v>0</v>
      </c>
      <c r="M133">
        <f>IF('Perso Reloaded'!$L$21=A133,1,0)</f>
        <v>0</v>
      </c>
      <c r="N133">
        <f>IF('Perso Reloaded'!$L$22=A133,1,0)</f>
        <v>0</v>
      </c>
      <c r="O133">
        <f>IF('Perso Reloaded'!$L$23=A133,1,0)</f>
        <v>0</v>
      </c>
      <c r="P133">
        <f>IF('Perso Reloaded'!$L$24=A133,1,0)</f>
        <v>0</v>
      </c>
      <c r="Q133">
        <f>IF('Perso Reloaded'!$L$25=A133,1,0)</f>
        <v>0</v>
      </c>
      <c r="R133">
        <f>IF('Perso Reloaded'!$L$26=A133,1,0)</f>
        <v>0</v>
      </c>
      <c r="S133">
        <f>IF('Perso Reloaded'!$L$27=A133,1,0)</f>
        <v>0</v>
      </c>
      <c r="T133">
        <f t="shared" si="5"/>
        <v>0</v>
      </c>
      <c r="U133" t="b">
        <f t="shared" si="6"/>
        <v>0</v>
      </c>
    </row>
    <row r="134" spans="1:21" x14ac:dyDescent="0.3">
      <c r="A134" s="65" t="s">
        <v>3251</v>
      </c>
      <c r="B134">
        <f>IF(AtoutsHandicapsMatos!$C$5=A134,1,0)</f>
        <v>0</v>
      </c>
      <c r="C134">
        <f>IF(AtoutsHandicapsMatos!$C$6=A134,1,0)</f>
        <v>0</v>
      </c>
      <c r="D134">
        <f>IF(AtoutsHandicapsMatos!$C$7=A134,1,0)</f>
        <v>0</v>
      </c>
      <c r="E134">
        <f>IF(AtoutsHandicapsMatos!$C$8=A134,1,0)</f>
        <v>0</v>
      </c>
      <c r="F134">
        <f>IF(AtoutsHandicapsMatos!$C$9=A134,1,0)</f>
        <v>0</v>
      </c>
      <c r="G134">
        <f>IF(AtoutsHandicapsMatos!$C$10=A134,1,0)</f>
        <v>0</v>
      </c>
      <c r="H134">
        <f>IF(AtoutsHandicapsMatos!$C$11=A134,1,0)</f>
        <v>0</v>
      </c>
      <c r="I134">
        <f>IF(AtoutsHandicapsMatos!$C$12=A134,1,0)</f>
        <v>0</v>
      </c>
      <c r="J134">
        <f>IF(AtoutsHandicapsMatos!$C$13=A134,1,0)</f>
        <v>0</v>
      </c>
      <c r="K134">
        <f>IF(AtoutsHandicapsMatos!$C$14=A134,1,0)</f>
        <v>0</v>
      </c>
      <c r="L134">
        <f>IF('Perso Reloaded'!$L$20=A134,1,0)</f>
        <v>0</v>
      </c>
      <c r="M134">
        <f>IF('Perso Reloaded'!$L$21=A134,1,0)</f>
        <v>0</v>
      </c>
      <c r="N134">
        <f>IF('Perso Reloaded'!$L$22=A134,1,0)</f>
        <v>0</v>
      </c>
      <c r="O134">
        <f>IF('Perso Reloaded'!$L$23=A134,1,0)</f>
        <v>0</v>
      </c>
      <c r="P134">
        <f>IF('Perso Reloaded'!$L$24=A134,1,0)</f>
        <v>0</v>
      </c>
      <c r="Q134">
        <f>IF('Perso Reloaded'!$L$25=A134,1,0)</f>
        <v>0</v>
      </c>
      <c r="R134">
        <f>IF('Perso Reloaded'!$L$26=A134,1,0)</f>
        <v>0</v>
      </c>
      <c r="S134">
        <f>IF('Perso Reloaded'!$L$27=A134,1,0)</f>
        <v>0</v>
      </c>
      <c r="T134">
        <f t="shared" si="5"/>
        <v>0</v>
      </c>
      <c r="U134" t="b">
        <f t="shared" si="6"/>
        <v>0</v>
      </c>
    </row>
    <row r="135" spans="1:21" x14ac:dyDescent="0.3">
      <c r="A135" s="65" t="s">
        <v>3252</v>
      </c>
      <c r="B135">
        <f>IF(AtoutsHandicapsMatos!$C$5=A135,1,0)</f>
        <v>0</v>
      </c>
      <c r="C135">
        <f>IF(AtoutsHandicapsMatos!$C$6=A135,1,0)</f>
        <v>0</v>
      </c>
      <c r="D135">
        <f>IF(AtoutsHandicapsMatos!$C$7=A135,1,0)</f>
        <v>0</v>
      </c>
      <c r="E135">
        <f>IF(AtoutsHandicapsMatos!$C$8=A135,1,0)</f>
        <v>0</v>
      </c>
      <c r="F135">
        <f>IF(AtoutsHandicapsMatos!$C$9=A135,1,0)</f>
        <v>0</v>
      </c>
      <c r="G135">
        <f>IF(AtoutsHandicapsMatos!$C$10=A135,1,0)</f>
        <v>0</v>
      </c>
      <c r="H135">
        <f>IF(AtoutsHandicapsMatos!$C$11=A135,1,0)</f>
        <v>0</v>
      </c>
      <c r="I135">
        <f>IF(AtoutsHandicapsMatos!$C$12=A135,1,0)</f>
        <v>0</v>
      </c>
      <c r="J135">
        <f>IF(AtoutsHandicapsMatos!$C$13=A135,1,0)</f>
        <v>0</v>
      </c>
      <c r="K135">
        <f>IF(AtoutsHandicapsMatos!$C$14=A135,1,0)</f>
        <v>0</v>
      </c>
      <c r="L135">
        <f>IF('Perso Reloaded'!$L$20=A135,1,0)</f>
        <v>0</v>
      </c>
      <c r="M135">
        <f>IF('Perso Reloaded'!$L$21=A135,1,0)</f>
        <v>0</v>
      </c>
      <c r="N135">
        <f>IF('Perso Reloaded'!$L$22=A135,1,0)</f>
        <v>0</v>
      </c>
      <c r="O135">
        <f>IF('Perso Reloaded'!$L$23=A135,1,0)</f>
        <v>0</v>
      </c>
      <c r="P135">
        <f>IF('Perso Reloaded'!$L$24=A135,1,0)</f>
        <v>0</v>
      </c>
      <c r="Q135">
        <f>IF('Perso Reloaded'!$L$25=A135,1,0)</f>
        <v>0</v>
      </c>
      <c r="R135">
        <f>IF('Perso Reloaded'!$L$26=A135,1,0)</f>
        <v>0</v>
      </c>
      <c r="S135">
        <f>IF('Perso Reloaded'!$L$27=A135,1,0)</f>
        <v>0</v>
      </c>
      <c r="T135">
        <f t="shared" si="5"/>
        <v>0</v>
      </c>
      <c r="U135" t="b">
        <f t="shared" si="6"/>
        <v>0</v>
      </c>
    </row>
    <row r="136" spans="1:21" x14ac:dyDescent="0.3">
      <c r="A136" s="65" t="s">
        <v>1037</v>
      </c>
      <c r="B136">
        <f>IF(AtoutsHandicapsMatos!$C$5=A136,1,0)</f>
        <v>0</v>
      </c>
      <c r="C136">
        <f>IF(AtoutsHandicapsMatos!$C$6=A136,1,0)</f>
        <v>0</v>
      </c>
      <c r="D136">
        <f>IF(AtoutsHandicapsMatos!$C$7=A136,1,0)</f>
        <v>0</v>
      </c>
      <c r="E136">
        <f>IF(AtoutsHandicapsMatos!$C$8=A136,1,0)</f>
        <v>0</v>
      </c>
      <c r="F136">
        <f>IF(AtoutsHandicapsMatos!$C$9=A136,1,0)</f>
        <v>0</v>
      </c>
      <c r="G136">
        <f>IF(AtoutsHandicapsMatos!$C$10=A136,1,0)</f>
        <v>0</v>
      </c>
      <c r="H136">
        <f>IF(AtoutsHandicapsMatos!$C$11=A136,1,0)</f>
        <v>0</v>
      </c>
      <c r="I136">
        <f>IF(AtoutsHandicapsMatos!$C$12=A136,1,0)</f>
        <v>0</v>
      </c>
      <c r="J136">
        <f>IF(AtoutsHandicapsMatos!$C$13=A136,1,0)</f>
        <v>0</v>
      </c>
      <c r="K136">
        <f>IF(AtoutsHandicapsMatos!$C$14=A136,1,0)</f>
        <v>0</v>
      </c>
      <c r="L136">
        <f>IF('Perso Reloaded'!$L$20=A136,1,0)</f>
        <v>0</v>
      </c>
      <c r="M136">
        <f>IF('Perso Reloaded'!$L$21=A136,1,0)</f>
        <v>0</v>
      </c>
      <c r="N136">
        <f>IF('Perso Reloaded'!$L$22=A136,1,0)</f>
        <v>0</v>
      </c>
      <c r="O136">
        <f>IF('Perso Reloaded'!$L$23=A136,1,0)</f>
        <v>0</v>
      </c>
      <c r="P136">
        <f>IF('Perso Reloaded'!$L$24=A136,1,0)</f>
        <v>0</v>
      </c>
      <c r="Q136">
        <f>IF('Perso Reloaded'!$L$25=A136,1,0)</f>
        <v>0</v>
      </c>
      <c r="R136">
        <f>IF('Perso Reloaded'!$L$26=A136,1,0)</f>
        <v>0</v>
      </c>
      <c r="S136">
        <f>IF('Perso Reloaded'!$L$27=A136,1,0)</f>
        <v>0</v>
      </c>
      <c r="T136">
        <f t="shared" si="5"/>
        <v>0</v>
      </c>
      <c r="U136" t="b">
        <f t="shared" si="6"/>
        <v>0</v>
      </c>
    </row>
    <row r="137" spans="1:21" x14ac:dyDescent="0.3">
      <c r="A137" s="65" t="s">
        <v>4829</v>
      </c>
      <c r="B137">
        <f>IF(AtoutsHandicapsMatos!$C$5=A137,1,0)</f>
        <v>0</v>
      </c>
      <c r="C137">
        <f>IF(AtoutsHandicapsMatos!$C$6=A137,1,0)</f>
        <v>0</v>
      </c>
      <c r="D137">
        <f>IF(AtoutsHandicapsMatos!$C$7=A137,1,0)</f>
        <v>0</v>
      </c>
      <c r="E137">
        <f>IF(AtoutsHandicapsMatos!$C$8=A137,1,0)</f>
        <v>0</v>
      </c>
      <c r="F137">
        <f>IF(AtoutsHandicapsMatos!$C$9=A137,1,0)</f>
        <v>0</v>
      </c>
      <c r="G137">
        <f>IF(AtoutsHandicapsMatos!$C$10=A137,1,0)</f>
        <v>0</v>
      </c>
      <c r="H137">
        <f>IF(AtoutsHandicapsMatos!$C$11=A137,1,0)</f>
        <v>0</v>
      </c>
      <c r="I137">
        <f>IF(AtoutsHandicapsMatos!$C$12=A137,1,0)</f>
        <v>0</v>
      </c>
      <c r="J137">
        <f>IF(AtoutsHandicapsMatos!$C$13=A137,1,0)</f>
        <v>0</v>
      </c>
      <c r="K137">
        <f>IF(AtoutsHandicapsMatos!$C$14=A137,1,0)</f>
        <v>0</v>
      </c>
      <c r="L137">
        <f>IF('Perso Reloaded'!$L$20=A137,1,0)</f>
        <v>0</v>
      </c>
      <c r="M137">
        <f>IF('Perso Reloaded'!$L$21=A137,1,0)</f>
        <v>0</v>
      </c>
      <c r="N137">
        <f>IF('Perso Reloaded'!$L$22=A137,1,0)</f>
        <v>0</v>
      </c>
      <c r="O137">
        <f>IF('Perso Reloaded'!$L$23=A137,1,0)</f>
        <v>0</v>
      </c>
      <c r="P137">
        <f>IF('Perso Reloaded'!$L$24=A137,1,0)</f>
        <v>0</v>
      </c>
      <c r="Q137">
        <f>IF('Perso Reloaded'!$L$25=A137,1,0)</f>
        <v>0</v>
      </c>
      <c r="R137">
        <f>IF('Perso Reloaded'!$L$26=A137,1,0)</f>
        <v>0</v>
      </c>
      <c r="S137">
        <f>IF('Perso Reloaded'!$L$27=A137,1,0)</f>
        <v>0</v>
      </c>
      <c r="T137">
        <f t="shared" si="5"/>
        <v>0</v>
      </c>
      <c r="U137" t="b">
        <f t="shared" si="6"/>
        <v>0</v>
      </c>
    </row>
    <row r="138" spans="1:21" x14ac:dyDescent="0.3">
      <c r="A138" s="65" t="s">
        <v>3515</v>
      </c>
      <c r="B138">
        <f>IF(AtoutsHandicapsMatos!$C$5=A138,1,0)</f>
        <v>0</v>
      </c>
      <c r="C138">
        <f>IF(AtoutsHandicapsMatos!$C$6=A138,1,0)</f>
        <v>0</v>
      </c>
      <c r="D138">
        <f>IF(AtoutsHandicapsMatos!$C$7=A138,1,0)</f>
        <v>0</v>
      </c>
      <c r="E138">
        <f>IF(AtoutsHandicapsMatos!$C$8=A138,1,0)</f>
        <v>0</v>
      </c>
      <c r="F138">
        <f>IF(AtoutsHandicapsMatos!$C$9=A138,1,0)</f>
        <v>0</v>
      </c>
      <c r="G138">
        <f>IF(AtoutsHandicapsMatos!$C$10=A138,1,0)</f>
        <v>0</v>
      </c>
      <c r="H138">
        <f>IF(AtoutsHandicapsMatos!$C$11=A138,1,0)</f>
        <v>0</v>
      </c>
      <c r="I138">
        <f>IF(AtoutsHandicapsMatos!$C$12=A138,1,0)</f>
        <v>0</v>
      </c>
      <c r="J138">
        <f>IF(AtoutsHandicapsMatos!$C$13=A138,1,0)</f>
        <v>0</v>
      </c>
      <c r="K138">
        <f>IF(AtoutsHandicapsMatos!$C$14=A138,1,0)</f>
        <v>0</v>
      </c>
      <c r="L138">
        <f>IF('Perso Reloaded'!$L$20=A138,1,0)</f>
        <v>0</v>
      </c>
      <c r="M138">
        <f>IF('Perso Reloaded'!$L$21=A138,1,0)</f>
        <v>0</v>
      </c>
      <c r="N138">
        <f>IF('Perso Reloaded'!$L$22=A138,1,0)</f>
        <v>0</v>
      </c>
      <c r="O138">
        <f>IF('Perso Reloaded'!$L$23=A138,1,0)</f>
        <v>0</v>
      </c>
      <c r="P138">
        <f>IF('Perso Reloaded'!$L$24=A138,1,0)</f>
        <v>0</v>
      </c>
      <c r="Q138">
        <f>IF('Perso Reloaded'!$L$25=A138,1,0)</f>
        <v>0</v>
      </c>
      <c r="R138">
        <f>IF('Perso Reloaded'!$L$26=A138,1,0)</f>
        <v>0</v>
      </c>
      <c r="S138">
        <f>IF('Perso Reloaded'!$L$27=A138,1,0)</f>
        <v>0</v>
      </c>
      <c r="T138">
        <f t="shared" si="5"/>
        <v>0</v>
      </c>
      <c r="U138" t="b">
        <f t="shared" si="6"/>
        <v>0</v>
      </c>
    </row>
    <row r="139" spans="1:21" x14ac:dyDescent="0.3">
      <c r="A139" s="65" t="str">
        <f>IF(SexePerso="Féminin","Experte",IF('Perso Reloaded'!$C$6="Féminin","Experte","Expert"))</f>
        <v>Expert</v>
      </c>
      <c r="B139">
        <f>IF(AtoutsHandicapsMatos!$C$5=A139,1,0)</f>
        <v>0</v>
      </c>
      <c r="C139">
        <f>IF(AtoutsHandicapsMatos!$C$6=A139,1,0)</f>
        <v>0</v>
      </c>
      <c r="D139">
        <f>IF(AtoutsHandicapsMatos!$C$7=A139,1,0)</f>
        <v>0</v>
      </c>
      <c r="E139">
        <f>IF(AtoutsHandicapsMatos!$C$8=A139,1,0)</f>
        <v>0</v>
      </c>
      <c r="F139">
        <f>IF(AtoutsHandicapsMatos!$C$9=A139,1,0)</f>
        <v>0</v>
      </c>
      <c r="G139">
        <f>IF(AtoutsHandicapsMatos!$C$10=A139,1,0)</f>
        <v>0</v>
      </c>
      <c r="H139">
        <f>IF(AtoutsHandicapsMatos!$C$11=A139,1,0)</f>
        <v>0</v>
      </c>
      <c r="I139">
        <f>IF(AtoutsHandicapsMatos!$C$12=A139,1,0)</f>
        <v>0</v>
      </c>
      <c r="J139">
        <f>IF(AtoutsHandicapsMatos!$C$13=A139,1,0)</f>
        <v>0</v>
      </c>
      <c r="K139">
        <f>IF(AtoutsHandicapsMatos!$C$14=A139,1,0)</f>
        <v>0</v>
      </c>
      <c r="L139">
        <f>IF('Perso Reloaded'!$L$20=A139,1,0)</f>
        <v>0</v>
      </c>
      <c r="M139">
        <f>IF('Perso Reloaded'!$L$21=A139,1,0)</f>
        <v>0</v>
      </c>
      <c r="N139">
        <f>IF('Perso Reloaded'!$L$22=A139,1,0)</f>
        <v>0</v>
      </c>
      <c r="O139">
        <f>IF('Perso Reloaded'!$L$23=A139,1,0)</f>
        <v>0</v>
      </c>
      <c r="P139">
        <f>IF('Perso Reloaded'!$L$24=A139,1,0)</f>
        <v>0</v>
      </c>
      <c r="Q139">
        <f>IF('Perso Reloaded'!$L$25=A139,1,0)</f>
        <v>0</v>
      </c>
      <c r="R139">
        <f>IF('Perso Reloaded'!$L$26=A139,1,0)</f>
        <v>0</v>
      </c>
      <c r="S139">
        <f>IF('Perso Reloaded'!$L$27=A139,1,0)</f>
        <v>0</v>
      </c>
      <c r="T139">
        <f t="shared" si="5"/>
        <v>0</v>
      </c>
      <c r="U139" t="b">
        <f t="shared" si="6"/>
        <v>0</v>
      </c>
    </row>
    <row r="140" spans="1:21" x14ac:dyDescent="0.3">
      <c r="A140" s="65" t="s">
        <v>3255</v>
      </c>
      <c r="B140">
        <f>IF(AtoutsHandicapsMatos!$C$5=A140,1,0)</f>
        <v>0</v>
      </c>
      <c r="C140">
        <f>IF(AtoutsHandicapsMatos!$C$6=A140,1,0)</f>
        <v>0</v>
      </c>
      <c r="D140">
        <f>IF(AtoutsHandicapsMatos!$C$7=A140,1,0)</f>
        <v>0</v>
      </c>
      <c r="E140">
        <f>IF(AtoutsHandicapsMatos!$C$8=A140,1,0)</f>
        <v>0</v>
      </c>
      <c r="F140">
        <f>IF(AtoutsHandicapsMatos!$C$9=A140,1,0)</f>
        <v>0</v>
      </c>
      <c r="G140">
        <f>IF(AtoutsHandicapsMatos!$C$10=A140,1,0)</f>
        <v>0</v>
      </c>
      <c r="H140">
        <f>IF(AtoutsHandicapsMatos!$C$11=A140,1,0)</f>
        <v>0</v>
      </c>
      <c r="I140">
        <f>IF(AtoutsHandicapsMatos!$C$12=A140,1,0)</f>
        <v>0</v>
      </c>
      <c r="J140">
        <f>IF(AtoutsHandicapsMatos!$C$13=A140,1,0)</f>
        <v>0</v>
      </c>
      <c r="K140">
        <f>IF(AtoutsHandicapsMatos!$C$14=A140,1,0)</f>
        <v>0</v>
      </c>
      <c r="L140">
        <f>IF('Perso Reloaded'!$L$20=A140,1,0)</f>
        <v>0</v>
      </c>
      <c r="M140">
        <f>IF('Perso Reloaded'!$L$21=A140,1,0)</f>
        <v>0</v>
      </c>
      <c r="N140">
        <f>IF('Perso Reloaded'!$L$22=A140,1,0)</f>
        <v>0</v>
      </c>
      <c r="O140">
        <f>IF('Perso Reloaded'!$L$23=A140,1,0)</f>
        <v>0</v>
      </c>
      <c r="P140">
        <f>IF('Perso Reloaded'!$L$24=A140,1,0)</f>
        <v>0</v>
      </c>
      <c r="Q140">
        <f>IF('Perso Reloaded'!$L$25=A140,1,0)</f>
        <v>0</v>
      </c>
      <c r="R140">
        <f>IF('Perso Reloaded'!$L$26=A140,1,0)</f>
        <v>0</v>
      </c>
      <c r="S140">
        <f>IF('Perso Reloaded'!$L$27=A140,1,0)</f>
        <v>0</v>
      </c>
      <c r="T140">
        <f t="shared" si="5"/>
        <v>0</v>
      </c>
      <c r="U140" t="b">
        <f t="shared" si="6"/>
        <v>0</v>
      </c>
    </row>
    <row r="141" spans="1:21" x14ac:dyDescent="0.3">
      <c r="A141" s="65" t="s">
        <v>3256</v>
      </c>
      <c r="B141">
        <f>IF(AtoutsHandicapsMatos!$C$5=A141,1,0)</f>
        <v>0</v>
      </c>
      <c r="C141">
        <f>IF(AtoutsHandicapsMatos!$C$6=A141,1,0)</f>
        <v>0</v>
      </c>
      <c r="D141">
        <f>IF(AtoutsHandicapsMatos!$C$7=A141,1,0)</f>
        <v>0</v>
      </c>
      <c r="E141">
        <f>IF(AtoutsHandicapsMatos!$C$8=A141,1,0)</f>
        <v>0</v>
      </c>
      <c r="F141">
        <f>IF(AtoutsHandicapsMatos!$C$9=A141,1,0)</f>
        <v>0</v>
      </c>
      <c r="G141">
        <f>IF(AtoutsHandicapsMatos!$C$10=A141,1,0)</f>
        <v>0</v>
      </c>
      <c r="H141">
        <f>IF(AtoutsHandicapsMatos!$C$11=A141,1,0)</f>
        <v>0</v>
      </c>
      <c r="I141">
        <f>IF(AtoutsHandicapsMatos!$C$12=A141,1,0)</f>
        <v>0</v>
      </c>
      <c r="J141">
        <f>IF(AtoutsHandicapsMatos!$C$13=A141,1,0)</f>
        <v>0</v>
      </c>
      <c r="K141">
        <f>IF(AtoutsHandicapsMatos!$C$14=A141,1,0)</f>
        <v>0</v>
      </c>
      <c r="L141">
        <f>IF('Perso Reloaded'!$L$20=A141,1,0)</f>
        <v>0</v>
      </c>
      <c r="M141">
        <f>IF('Perso Reloaded'!$L$21=A141,1,0)</f>
        <v>0</v>
      </c>
      <c r="N141">
        <f>IF('Perso Reloaded'!$L$22=A141,1,0)</f>
        <v>0</v>
      </c>
      <c r="O141">
        <f>IF('Perso Reloaded'!$L$23=A141,1,0)</f>
        <v>0</v>
      </c>
      <c r="P141">
        <f>IF('Perso Reloaded'!$L$24=A141,1,0)</f>
        <v>0</v>
      </c>
      <c r="Q141">
        <f>IF('Perso Reloaded'!$L$25=A141,1,0)</f>
        <v>0</v>
      </c>
      <c r="R141">
        <f>IF('Perso Reloaded'!$L$26=A141,1,0)</f>
        <v>0</v>
      </c>
      <c r="S141">
        <f>IF('Perso Reloaded'!$L$27=A141,1,0)</f>
        <v>0</v>
      </c>
      <c r="T141">
        <f t="shared" si="5"/>
        <v>0</v>
      </c>
      <c r="U141" t="b">
        <f t="shared" si="6"/>
        <v>0</v>
      </c>
    </row>
    <row r="142" spans="1:21" x14ac:dyDescent="0.3">
      <c r="A142" s="65" t="s">
        <v>3633</v>
      </c>
      <c r="B142">
        <f>IF(AtoutsHandicapsMatos!$C$5=A142,1,0)</f>
        <v>0</v>
      </c>
      <c r="C142">
        <f>IF(AtoutsHandicapsMatos!$C$6=A142,1,0)</f>
        <v>0</v>
      </c>
      <c r="D142">
        <f>IF(AtoutsHandicapsMatos!$C$7=A142,1,0)</f>
        <v>0</v>
      </c>
      <c r="E142">
        <f>IF(AtoutsHandicapsMatos!$C$8=A142,1,0)</f>
        <v>0</v>
      </c>
      <c r="F142">
        <f>IF(AtoutsHandicapsMatos!$C$9=A142,1,0)</f>
        <v>0</v>
      </c>
      <c r="G142">
        <f>IF(AtoutsHandicapsMatos!$C$10=A142,1,0)</f>
        <v>0</v>
      </c>
      <c r="H142">
        <f>IF(AtoutsHandicapsMatos!$C$11=A142,1,0)</f>
        <v>0</v>
      </c>
      <c r="I142">
        <f>IF(AtoutsHandicapsMatos!$C$12=A142,1,0)</f>
        <v>0</v>
      </c>
      <c r="J142">
        <f>IF(AtoutsHandicapsMatos!$C$13=A142,1,0)</f>
        <v>0</v>
      </c>
      <c r="K142">
        <f>IF(AtoutsHandicapsMatos!$C$14=A142,1,0)</f>
        <v>0</v>
      </c>
      <c r="L142">
        <f>IF('Perso Reloaded'!$L$20=A142,1,0)</f>
        <v>0</v>
      </c>
      <c r="M142">
        <f>IF('Perso Reloaded'!$L$21=A142,1,0)</f>
        <v>0</v>
      </c>
      <c r="N142">
        <f>IF('Perso Reloaded'!$L$22=A142,1,0)</f>
        <v>0</v>
      </c>
      <c r="O142">
        <f>IF('Perso Reloaded'!$L$23=A142,1,0)</f>
        <v>0</v>
      </c>
      <c r="P142">
        <f>IF('Perso Reloaded'!$L$24=A142,1,0)</f>
        <v>0</v>
      </c>
      <c r="Q142">
        <f>IF('Perso Reloaded'!$L$25=A142,1,0)</f>
        <v>0</v>
      </c>
      <c r="R142">
        <f>IF('Perso Reloaded'!$L$26=A142,1,0)</f>
        <v>0</v>
      </c>
      <c r="S142">
        <f>IF('Perso Reloaded'!$L$27=A142,1,0)</f>
        <v>0</v>
      </c>
      <c r="T142">
        <f t="shared" si="5"/>
        <v>0</v>
      </c>
      <c r="U142" t="b">
        <f t="shared" si="6"/>
        <v>0</v>
      </c>
    </row>
    <row r="143" spans="1:21" x14ac:dyDescent="0.3">
      <c r="A143" s="65" t="s">
        <v>5077</v>
      </c>
      <c r="B143">
        <f>IF(AtoutsHandicapsMatos!$C$5=A143,1,0)</f>
        <v>0</v>
      </c>
      <c r="C143">
        <f>IF(AtoutsHandicapsMatos!$C$6=A143,1,0)</f>
        <v>0</v>
      </c>
      <c r="D143">
        <f>IF(AtoutsHandicapsMatos!$C$7=A143,1,0)</f>
        <v>0</v>
      </c>
      <c r="E143">
        <f>IF(AtoutsHandicapsMatos!$C$8=A143,1,0)</f>
        <v>0</v>
      </c>
      <c r="F143">
        <f>IF(AtoutsHandicapsMatos!$C$9=A143,1,0)</f>
        <v>0</v>
      </c>
      <c r="G143">
        <f>IF(AtoutsHandicapsMatos!$C$10=A143,1,0)</f>
        <v>0</v>
      </c>
      <c r="H143">
        <f>IF(AtoutsHandicapsMatos!$C$11=A143,1,0)</f>
        <v>0</v>
      </c>
      <c r="I143">
        <f>IF(AtoutsHandicapsMatos!$C$12=A143,1,0)</f>
        <v>0</v>
      </c>
      <c r="J143">
        <f>IF(AtoutsHandicapsMatos!$C$13=A143,1,0)</f>
        <v>0</v>
      </c>
      <c r="K143">
        <f>IF(AtoutsHandicapsMatos!$C$14=A143,1,0)</f>
        <v>0</v>
      </c>
      <c r="L143">
        <f>IF('Perso Reloaded'!$L$20=A143,1,0)</f>
        <v>0</v>
      </c>
      <c r="M143">
        <f>IF('Perso Reloaded'!$L$21=A143,1,0)</f>
        <v>0</v>
      </c>
      <c r="N143">
        <f>IF('Perso Reloaded'!$L$22=A143,1,0)</f>
        <v>0</v>
      </c>
      <c r="O143">
        <f>IF('Perso Reloaded'!$L$23=A143,1,0)</f>
        <v>0</v>
      </c>
      <c r="P143">
        <f>IF('Perso Reloaded'!$L$24=A143,1,0)</f>
        <v>0</v>
      </c>
      <c r="Q143">
        <f>IF('Perso Reloaded'!$L$25=A143,1,0)</f>
        <v>0</v>
      </c>
      <c r="R143">
        <f>IF('Perso Reloaded'!$L$26=A143,1,0)</f>
        <v>0</v>
      </c>
      <c r="S143">
        <f>IF('Perso Reloaded'!$L$27=A143,1,0)</f>
        <v>0</v>
      </c>
      <c r="T143">
        <f t="shared" si="5"/>
        <v>0</v>
      </c>
      <c r="U143" t="b">
        <f t="shared" si="6"/>
        <v>0</v>
      </c>
    </row>
    <row r="144" spans="1:21" x14ac:dyDescent="0.3">
      <c r="A144" s="65" t="s">
        <v>268</v>
      </c>
      <c r="B144">
        <f>IF(AtoutsHandicapsMatos!$C$5=A144,1,0)</f>
        <v>0</v>
      </c>
      <c r="C144">
        <f>IF(AtoutsHandicapsMatos!$C$6=A144,1,0)</f>
        <v>0</v>
      </c>
      <c r="D144">
        <f>IF(AtoutsHandicapsMatos!$C$7=A144,1,0)</f>
        <v>0</v>
      </c>
      <c r="E144">
        <f>IF(AtoutsHandicapsMatos!$C$8=A144,1,0)</f>
        <v>0</v>
      </c>
      <c r="F144">
        <f>IF(AtoutsHandicapsMatos!$C$9=A144,1,0)</f>
        <v>0</v>
      </c>
      <c r="G144">
        <f>IF(AtoutsHandicapsMatos!$C$10=A144,1,0)</f>
        <v>0</v>
      </c>
      <c r="H144">
        <f>IF(AtoutsHandicapsMatos!$C$11=A144,1,0)</f>
        <v>0</v>
      </c>
      <c r="I144">
        <f>IF(AtoutsHandicapsMatos!$C$12=A144,1,0)</f>
        <v>0</v>
      </c>
      <c r="J144">
        <f>IF(AtoutsHandicapsMatos!$C$13=A144,1,0)</f>
        <v>0</v>
      </c>
      <c r="K144">
        <f>IF(AtoutsHandicapsMatos!$C$14=A144,1,0)</f>
        <v>0</v>
      </c>
      <c r="L144">
        <f>IF('Perso Reloaded'!$L$20=A144,1,0)</f>
        <v>0</v>
      </c>
      <c r="M144">
        <f>IF('Perso Reloaded'!$L$21=A144,1,0)</f>
        <v>0</v>
      </c>
      <c r="N144">
        <f>IF('Perso Reloaded'!$L$22=A144,1,0)</f>
        <v>0</v>
      </c>
      <c r="O144">
        <f>IF('Perso Reloaded'!$L$23=A144,1,0)</f>
        <v>0</v>
      </c>
      <c r="P144">
        <f>IF('Perso Reloaded'!$L$24=A144,1,0)</f>
        <v>0</v>
      </c>
      <c r="Q144">
        <f>IF('Perso Reloaded'!$L$25=A144,1,0)</f>
        <v>0</v>
      </c>
      <c r="R144">
        <f>IF('Perso Reloaded'!$L$26=A144,1,0)</f>
        <v>0</v>
      </c>
      <c r="S144">
        <f>IF('Perso Reloaded'!$L$27=A144,1,0)</f>
        <v>0</v>
      </c>
      <c r="T144">
        <f t="shared" si="5"/>
        <v>0</v>
      </c>
      <c r="U144" t="b">
        <f t="shared" si="6"/>
        <v>0</v>
      </c>
    </row>
    <row r="145" spans="1:21" x14ac:dyDescent="0.3">
      <c r="A145" s="65" t="s">
        <v>5171</v>
      </c>
      <c r="B145">
        <f>IF(AtoutsHandicapsMatos!$C$5=A145,1,0)</f>
        <v>0</v>
      </c>
      <c r="C145">
        <f>IF(AtoutsHandicapsMatos!$C$6=A145,1,0)</f>
        <v>0</v>
      </c>
      <c r="D145">
        <f>IF(AtoutsHandicapsMatos!$C$7=A145,1,0)</f>
        <v>0</v>
      </c>
      <c r="E145">
        <f>IF(AtoutsHandicapsMatos!$C$8=A145,1,0)</f>
        <v>0</v>
      </c>
      <c r="F145">
        <f>IF(AtoutsHandicapsMatos!$C$9=A145,1,0)</f>
        <v>0</v>
      </c>
      <c r="G145">
        <f>IF(AtoutsHandicapsMatos!$C$10=A145,1,0)</f>
        <v>0</v>
      </c>
      <c r="H145">
        <f>IF(AtoutsHandicapsMatos!$C$11=A145,1,0)</f>
        <v>0</v>
      </c>
      <c r="I145">
        <f>IF(AtoutsHandicapsMatos!$C$12=A145,1,0)</f>
        <v>0</v>
      </c>
      <c r="J145">
        <f>IF(AtoutsHandicapsMatos!$C$13=A145,1,0)</f>
        <v>0</v>
      </c>
      <c r="K145">
        <f>IF(AtoutsHandicapsMatos!$C$14=A145,1,0)</f>
        <v>0</v>
      </c>
      <c r="L145">
        <f>IF('Perso Reloaded'!$L$20=A145,1,0)</f>
        <v>0</v>
      </c>
      <c r="M145">
        <f>IF('Perso Reloaded'!$L$21=A145,1,0)</f>
        <v>0</v>
      </c>
      <c r="N145">
        <f>IF('Perso Reloaded'!$L$22=A145,1,0)</f>
        <v>0</v>
      </c>
      <c r="O145">
        <f>IF('Perso Reloaded'!$L$23=A145,1,0)</f>
        <v>0</v>
      </c>
      <c r="P145">
        <f>IF('Perso Reloaded'!$L$24=A145,1,0)</f>
        <v>0</v>
      </c>
      <c r="Q145">
        <f>IF('Perso Reloaded'!$L$25=A145,1,0)</f>
        <v>0</v>
      </c>
      <c r="R145">
        <f>IF('Perso Reloaded'!$L$26=A145,1,0)</f>
        <v>0</v>
      </c>
      <c r="S145">
        <f>IF('Perso Reloaded'!$L$27=A145,1,0)</f>
        <v>0</v>
      </c>
      <c r="T145">
        <f t="shared" si="5"/>
        <v>0</v>
      </c>
      <c r="U145" t="b">
        <f t="shared" si="6"/>
        <v>0</v>
      </c>
    </row>
    <row r="146" spans="1:21" x14ac:dyDescent="0.3">
      <c r="A146" s="65" t="s">
        <v>3634</v>
      </c>
      <c r="B146">
        <f>IF(AtoutsHandicapsMatos!$C$5=A146,1,0)</f>
        <v>0</v>
      </c>
      <c r="C146">
        <f>IF(AtoutsHandicapsMatos!$C$6=A146,1,0)</f>
        <v>0</v>
      </c>
      <c r="D146">
        <f>IF(AtoutsHandicapsMatos!$C$7=A146,1,0)</f>
        <v>0</v>
      </c>
      <c r="E146">
        <f>IF(AtoutsHandicapsMatos!$C$8=A146,1,0)</f>
        <v>0</v>
      </c>
      <c r="F146">
        <f>IF(AtoutsHandicapsMatos!$C$9=A146,1,0)</f>
        <v>0</v>
      </c>
      <c r="G146">
        <f>IF(AtoutsHandicapsMatos!$C$10=A146,1,0)</f>
        <v>0</v>
      </c>
      <c r="H146">
        <f>IF(AtoutsHandicapsMatos!$C$11=A146,1,0)</f>
        <v>0</v>
      </c>
      <c r="I146">
        <f>IF(AtoutsHandicapsMatos!$C$12=A146,1,0)</f>
        <v>0</v>
      </c>
      <c r="J146">
        <f>IF(AtoutsHandicapsMatos!$C$13=A146,1,0)</f>
        <v>0</v>
      </c>
      <c r="K146">
        <f>IF(AtoutsHandicapsMatos!$C$14=A146,1,0)</f>
        <v>0</v>
      </c>
      <c r="L146">
        <f>IF('Perso Reloaded'!$L$20=A146,1,0)</f>
        <v>0</v>
      </c>
      <c r="M146">
        <f>IF('Perso Reloaded'!$L$21=A146,1,0)</f>
        <v>0</v>
      </c>
      <c r="N146">
        <f>IF('Perso Reloaded'!$L$22=A146,1,0)</f>
        <v>0</v>
      </c>
      <c r="O146">
        <f>IF('Perso Reloaded'!$L$23=A146,1,0)</f>
        <v>0</v>
      </c>
      <c r="P146">
        <f>IF('Perso Reloaded'!$L$24=A146,1,0)</f>
        <v>0</v>
      </c>
      <c r="Q146">
        <f>IF('Perso Reloaded'!$L$25=A146,1,0)</f>
        <v>0</v>
      </c>
      <c r="R146">
        <f>IF('Perso Reloaded'!$L$26=A146,1,0)</f>
        <v>0</v>
      </c>
      <c r="S146">
        <f>IF('Perso Reloaded'!$L$27=A146,1,0)</f>
        <v>0</v>
      </c>
      <c r="T146">
        <f t="shared" si="5"/>
        <v>0</v>
      </c>
      <c r="U146" t="b">
        <f t="shared" si="6"/>
        <v>0</v>
      </c>
    </row>
    <row r="147" spans="1:21" x14ac:dyDescent="0.3">
      <c r="A147" s="65" t="s">
        <v>5066</v>
      </c>
      <c r="B147">
        <f>IF(AtoutsHandicapsMatos!$C$5=A147,1,0)</f>
        <v>0</v>
      </c>
      <c r="C147">
        <f>IF(AtoutsHandicapsMatos!$C$6=A147,1,0)</f>
        <v>0</v>
      </c>
      <c r="D147">
        <f>IF(AtoutsHandicapsMatos!$C$7=A147,1,0)</f>
        <v>0</v>
      </c>
      <c r="E147">
        <f>IF(AtoutsHandicapsMatos!$C$8=A147,1,0)</f>
        <v>0</v>
      </c>
      <c r="F147">
        <f>IF(AtoutsHandicapsMatos!$C$9=A147,1,0)</f>
        <v>0</v>
      </c>
      <c r="G147">
        <f>IF(AtoutsHandicapsMatos!$C$10=A147,1,0)</f>
        <v>0</v>
      </c>
      <c r="H147">
        <f>IF(AtoutsHandicapsMatos!$C$11=A147,1,0)</f>
        <v>0</v>
      </c>
      <c r="I147">
        <f>IF(AtoutsHandicapsMatos!$C$12=A147,1,0)</f>
        <v>0</v>
      </c>
      <c r="J147">
        <f>IF(AtoutsHandicapsMatos!$C$13=A147,1,0)</f>
        <v>0</v>
      </c>
      <c r="K147">
        <f>IF(AtoutsHandicapsMatos!$C$14=A147,1,0)</f>
        <v>0</v>
      </c>
      <c r="L147">
        <f>IF('Perso Reloaded'!$L$20=A147,1,0)</f>
        <v>0</v>
      </c>
      <c r="M147">
        <f>IF('Perso Reloaded'!$L$21=A147,1,0)</f>
        <v>0</v>
      </c>
      <c r="N147">
        <f>IF('Perso Reloaded'!$L$22=A147,1,0)</f>
        <v>0</v>
      </c>
      <c r="O147">
        <f>IF('Perso Reloaded'!$L$23=A147,1,0)</f>
        <v>0</v>
      </c>
      <c r="P147">
        <f>IF('Perso Reloaded'!$L$24=A147,1,0)</f>
        <v>0</v>
      </c>
      <c r="Q147">
        <f>IF('Perso Reloaded'!$L$25=A147,1,0)</f>
        <v>0</v>
      </c>
      <c r="R147">
        <f>IF('Perso Reloaded'!$L$26=A147,1,0)</f>
        <v>0</v>
      </c>
      <c r="S147">
        <f>IF('Perso Reloaded'!$L$27=A147,1,0)</f>
        <v>0</v>
      </c>
      <c r="T147">
        <f t="shared" ref="T147" si="7">SUM(B147:S147)</f>
        <v>0</v>
      </c>
      <c r="U147" t="b">
        <f t="shared" si="6"/>
        <v>0</v>
      </c>
    </row>
    <row r="148" spans="1:21" x14ac:dyDescent="0.3">
      <c r="A148" s="65" t="s">
        <v>3313</v>
      </c>
      <c r="B148">
        <f>IF(AtoutsHandicapsMatos!$C$5=A148,1,0)</f>
        <v>0</v>
      </c>
      <c r="C148">
        <f>IF(AtoutsHandicapsMatos!$C$6=A148,1,0)</f>
        <v>0</v>
      </c>
      <c r="D148">
        <f>IF(AtoutsHandicapsMatos!$C$7=A148,1,0)</f>
        <v>0</v>
      </c>
      <c r="E148">
        <f>IF(AtoutsHandicapsMatos!$C$8=A148,1,0)</f>
        <v>0</v>
      </c>
      <c r="F148">
        <f>IF(AtoutsHandicapsMatos!$C$9=A148,1,0)</f>
        <v>0</v>
      </c>
      <c r="G148">
        <f>IF(AtoutsHandicapsMatos!$C$10=A148,1,0)</f>
        <v>0</v>
      </c>
      <c r="H148">
        <f>IF(AtoutsHandicapsMatos!$C$11=A148,1,0)</f>
        <v>0</v>
      </c>
      <c r="I148">
        <f>IF(AtoutsHandicapsMatos!$C$12=A148,1,0)</f>
        <v>0</v>
      </c>
      <c r="J148">
        <f>IF(AtoutsHandicapsMatos!$C$13=A148,1,0)</f>
        <v>0</v>
      </c>
      <c r="K148">
        <f>IF(AtoutsHandicapsMatos!$C$14=A148,1,0)</f>
        <v>0</v>
      </c>
      <c r="L148">
        <f>IF('Perso Reloaded'!$L$20=A148,1,0)</f>
        <v>0</v>
      </c>
      <c r="M148">
        <f>IF('Perso Reloaded'!$L$21=A148,1,0)</f>
        <v>0</v>
      </c>
      <c r="N148">
        <f>IF('Perso Reloaded'!$L$22=A148,1,0)</f>
        <v>0</v>
      </c>
      <c r="O148">
        <f>IF('Perso Reloaded'!$L$23=A148,1,0)</f>
        <v>0</v>
      </c>
      <c r="P148">
        <f>IF('Perso Reloaded'!$L$24=A148,1,0)</f>
        <v>0</v>
      </c>
      <c r="Q148">
        <f>IF('Perso Reloaded'!$L$25=A148,1,0)</f>
        <v>0</v>
      </c>
      <c r="R148">
        <f>IF('Perso Reloaded'!$L$26=A148,1,0)</f>
        <v>0</v>
      </c>
      <c r="S148">
        <f>IF('Perso Reloaded'!$L$27=A148,1,0)</f>
        <v>0</v>
      </c>
      <c r="T148">
        <f t="shared" si="5"/>
        <v>0</v>
      </c>
      <c r="U148" t="b">
        <f t="shared" si="6"/>
        <v>0</v>
      </c>
    </row>
    <row r="149" spans="1:21" x14ac:dyDescent="0.3">
      <c r="A149" s="65" t="s">
        <v>3558</v>
      </c>
      <c r="B149">
        <f>IF(AtoutsHandicapsMatos!$C$5=A149,1,0)</f>
        <v>0</v>
      </c>
      <c r="C149">
        <f>IF(AtoutsHandicapsMatos!$C$6=A149,1,0)</f>
        <v>0</v>
      </c>
      <c r="D149">
        <f>IF(AtoutsHandicapsMatos!$C$7=A149,1,0)</f>
        <v>0</v>
      </c>
      <c r="E149">
        <f>IF(AtoutsHandicapsMatos!$C$8=A149,1,0)</f>
        <v>0</v>
      </c>
      <c r="F149">
        <f>IF(AtoutsHandicapsMatos!$C$9=A149,1,0)</f>
        <v>0</v>
      </c>
      <c r="G149">
        <f>IF(AtoutsHandicapsMatos!$C$10=A149,1,0)</f>
        <v>0</v>
      </c>
      <c r="H149">
        <f>IF(AtoutsHandicapsMatos!$C$11=A149,1,0)</f>
        <v>0</v>
      </c>
      <c r="I149">
        <f>IF(AtoutsHandicapsMatos!$C$12=A149,1,0)</f>
        <v>0</v>
      </c>
      <c r="J149">
        <f>IF(AtoutsHandicapsMatos!$C$13=A149,1,0)</f>
        <v>0</v>
      </c>
      <c r="K149">
        <f>IF(AtoutsHandicapsMatos!$C$14=A149,1,0)</f>
        <v>0</v>
      </c>
      <c r="L149">
        <f>IF('Perso Reloaded'!$L$20=A149,1,0)</f>
        <v>0</v>
      </c>
      <c r="M149">
        <f>IF('Perso Reloaded'!$L$21=A149,1,0)</f>
        <v>0</v>
      </c>
      <c r="N149">
        <f>IF('Perso Reloaded'!$L$22=A149,1,0)</f>
        <v>0</v>
      </c>
      <c r="O149">
        <f>IF('Perso Reloaded'!$L$23=A149,1,0)</f>
        <v>0</v>
      </c>
      <c r="P149">
        <f>IF('Perso Reloaded'!$L$24=A149,1,0)</f>
        <v>0</v>
      </c>
      <c r="Q149">
        <f>IF('Perso Reloaded'!$L$25=A149,1,0)</f>
        <v>0</v>
      </c>
      <c r="R149">
        <f>IF('Perso Reloaded'!$L$26=A149,1,0)</f>
        <v>0</v>
      </c>
      <c r="S149">
        <f>IF('Perso Reloaded'!$L$27=A149,1,0)</f>
        <v>0</v>
      </c>
      <c r="T149">
        <f t="shared" si="5"/>
        <v>0</v>
      </c>
      <c r="U149" t="b">
        <f t="shared" si="6"/>
        <v>0</v>
      </c>
    </row>
    <row r="150" spans="1:21" x14ac:dyDescent="0.3">
      <c r="A150" s="65" t="str">
        <f>IF(SexePerso="Féminin","Flambeuse",IF('Perso Reloaded'!$C$6="Féminin","Flambeuse","Flambeur"))</f>
        <v>Flambeur</v>
      </c>
      <c r="B150">
        <f>IF(AtoutsHandicapsMatos!$C$5=A150,1,0)</f>
        <v>0</v>
      </c>
      <c r="C150">
        <f>IF(AtoutsHandicapsMatos!$C$6=A150,1,0)</f>
        <v>0</v>
      </c>
      <c r="D150">
        <f>IF(AtoutsHandicapsMatos!$C$7=A150,1,0)</f>
        <v>0</v>
      </c>
      <c r="E150">
        <f>IF(AtoutsHandicapsMatos!$C$8=A150,1,0)</f>
        <v>0</v>
      </c>
      <c r="F150">
        <f>IF(AtoutsHandicapsMatos!$C$9=A150,1,0)</f>
        <v>0</v>
      </c>
      <c r="G150">
        <f>IF(AtoutsHandicapsMatos!$C$10=A150,1,0)</f>
        <v>0</v>
      </c>
      <c r="H150">
        <f>IF(AtoutsHandicapsMatos!$C$11=A150,1,0)</f>
        <v>0</v>
      </c>
      <c r="I150">
        <f>IF(AtoutsHandicapsMatos!$C$12=A150,1,0)</f>
        <v>0</v>
      </c>
      <c r="J150">
        <f>IF(AtoutsHandicapsMatos!$C$13=A150,1,0)</f>
        <v>0</v>
      </c>
      <c r="K150">
        <f>IF(AtoutsHandicapsMatos!$C$14=A150,1,0)</f>
        <v>0</v>
      </c>
      <c r="L150">
        <f>IF('Perso Reloaded'!$L$20=A150,1,0)</f>
        <v>0</v>
      </c>
      <c r="M150">
        <f>IF('Perso Reloaded'!$L$21=A150,1,0)</f>
        <v>0</v>
      </c>
      <c r="N150">
        <f>IF('Perso Reloaded'!$L$22=A150,1,0)</f>
        <v>0</v>
      </c>
      <c r="O150">
        <f>IF('Perso Reloaded'!$L$23=A150,1,0)</f>
        <v>0</v>
      </c>
      <c r="P150">
        <f>IF('Perso Reloaded'!$L$24=A150,1,0)</f>
        <v>0</v>
      </c>
      <c r="Q150">
        <f>IF('Perso Reloaded'!$L$25=A150,1,0)</f>
        <v>0</v>
      </c>
      <c r="R150">
        <f>IF('Perso Reloaded'!$L$26=A150,1,0)</f>
        <v>0</v>
      </c>
      <c r="S150">
        <f>IF('Perso Reloaded'!$L$27=A150,1,0)</f>
        <v>0</v>
      </c>
      <c r="T150">
        <f t="shared" si="5"/>
        <v>0</v>
      </c>
      <c r="U150" t="b">
        <f t="shared" si="6"/>
        <v>0</v>
      </c>
    </row>
    <row r="151" spans="1:21" x14ac:dyDescent="0.3">
      <c r="A151" s="65" t="str">
        <f>IF(SexePerso="Féminin","Flambeuse (grosse)",IF('Perso Reloaded'!$C$6="Féminin","Flambeuse (grosse)","Flambeur (gros)"))</f>
        <v>Flambeur (gros)</v>
      </c>
      <c r="B151">
        <f>IF(AtoutsHandicapsMatos!$C$5=A151,1,0)</f>
        <v>0</v>
      </c>
      <c r="C151">
        <f>IF(AtoutsHandicapsMatos!$C$6=A151,1,0)</f>
        <v>0</v>
      </c>
      <c r="D151">
        <f>IF(AtoutsHandicapsMatos!$C$7=A151,1,0)</f>
        <v>0</v>
      </c>
      <c r="E151">
        <f>IF(AtoutsHandicapsMatos!$C$8=A151,1,0)</f>
        <v>0</v>
      </c>
      <c r="F151">
        <f>IF(AtoutsHandicapsMatos!$C$9=A151,1,0)</f>
        <v>0</v>
      </c>
      <c r="G151">
        <f>IF(AtoutsHandicapsMatos!$C$10=A151,1,0)</f>
        <v>0</v>
      </c>
      <c r="H151">
        <f>IF(AtoutsHandicapsMatos!$C$11=A151,1,0)</f>
        <v>0</v>
      </c>
      <c r="I151">
        <f>IF(AtoutsHandicapsMatos!$C$12=A151,1,0)</f>
        <v>0</v>
      </c>
      <c r="J151">
        <f>IF(AtoutsHandicapsMatos!$C$13=A151,1,0)</f>
        <v>0</v>
      </c>
      <c r="K151">
        <f>IF(AtoutsHandicapsMatos!$C$14=A151,1,0)</f>
        <v>0</v>
      </c>
      <c r="L151">
        <f>IF('Perso Reloaded'!$L$20=A151,1,0)</f>
        <v>0</v>
      </c>
      <c r="M151">
        <f>IF('Perso Reloaded'!$L$21=A151,1,0)</f>
        <v>0</v>
      </c>
      <c r="N151">
        <f>IF('Perso Reloaded'!$L$22=A151,1,0)</f>
        <v>0</v>
      </c>
      <c r="O151">
        <f>IF('Perso Reloaded'!$L$23=A151,1,0)</f>
        <v>0</v>
      </c>
      <c r="P151">
        <f>IF('Perso Reloaded'!$L$24=A151,1,0)</f>
        <v>0</v>
      </c>
      <c r="Q151">
        <f>IF('Perso Reloaded'!$L$25=A151,1,0)</f>
        <v>0</v>
      </c>
      <c r="R151">
        <f>IF('Perso Reloaded'!$L$26=A151,1,0)</f>
        <v>0</v>
      </c>
      <c r="S151">
        <f>IF('Perso Reloaded'!$L$27=A151,1,0)</f>
        <v>0</v>
      </c>
      <c r="T151">
        <f t="shared" si="5"/>
        <v>0</v>
      </c>
      <c r="U151" t="b">
        <f t="shared" si="6"/>
        <v>0</v>
      </c>
    </row>
    <row r="152" spans="1:21" x14ac:dyDescent="0.3">
      <c r="A152" s="65" t="s">
        <v>3259</v>
      </c>
      <c r="B152">
        <f>IF(AtoutsHandicapsMatos!$C$5=A152,1,0)</f>
        <v>0</v>
      </c>
      <c r="C152">
        <f>IF(AtoutsHandicapsMatos!$C$6=A152,1,0)</f>
        <v>0</v>
      </c>
      <c r="D152">
        <f>IF(AtoutsHandicapsMatos!$C$7=A152,1,0)</f>
        <v>0</v>
      </c>
      <c r="E152">
        <f>IF(AtoutsHandicapsMatos!$C$8=A152,1,0)</f>
        <v>0</v>
      </c>
      <c r="F152">
        <f>IF(AtoutsHandicapsMatos!$C$9=A152,1,0)</f>
        <v>0</v>
      </c>
      <c r="G152">
        <f>IF(AtoutsHandicapsMatos!$C$10=A152,1,0)</f>
        <v>0</v>
      </c>
      <c r="H152">
        <f>IF(AtoutsHandicapsMatos!$C$11=A152,1,0)</f>
        <v>0</v>
      </c>
      <c r="I152">
        <f>IF(AtoutsHandicapsMatos!$C$12=A152,1,0)</f>
        <v>0</v>
      </c>
      <c r="J152">
        <f>IF(AtoutsHandicapsMatos!$C$13=A152,1,0)</f>
        <v>0</v>
      </c>
      <c r="K152">
        <f>IF(AtoutsHandicapsMatos!$C$14=A152,1,0)</f>
        <v>0</v>
      </c>
      <c r="L152">
        <f>IF('Perso Reloaded'!$L$20=A152,1,0)</f>
        <v>0</v>
      </c>
      <c r="M152">
        <f>IF('Perso Reloaded'!$L$21=A152,1,0)</f>
        <v>0</v>
      </c>
      <c r="N152">
        <f>IF('Perso Reloaded'!$L$22=A152,1,0)</f>
        <v>0</v>
      </c>
      <c r="O152">
        <f>IF('Perso Reloaded'!$L$23=A152,1,0)</f>
        <v>0</v>
      </c>
      <c r="P152">
        <f>IF('Perso Reloaded'!$L$24=A152,1,0)</f>
        <v>0</v>
      </c>
      <c r="Q152">
        <f>IF('Perso Reloaded'!$L$25=A152,1,0)</f>
        <v>0</v>
      </c>
      <c r="R152">
        <f>IF('Perso Reloaded'!$L$26=A152,1,0)</f>
        <v>0</v>
      </c>
      <c r="S152">
        <f>IF('Perso Reloaded'!$L$27=A152,1,0)</f>
        <v>0</v>
      </c>
      <c r="T152">
        <f t="shared" si="5"/>
        <v>0</v>
      </c>
      <c r="U152" t="b">
        <f t="shared" si="6"/>
        <v>0</v>
      </c>
    </row>
    <row r="153" spans="1:21" x14ac:dyDescent="0.3">
      <c r="A153" s="65" t="s">
        <v>4672</v>
      </c>
      <c r="B153">
        <f>IF(AtoutsHandicapsMatos!$C$5=A153,1,0)</f>
        <v>0</v>
      </c>
      <c r="C153">
        <f>IF(AtoutsHandicapsMatos!$C$6=A153,1,0)</f>
        <v>0</v>
      </c>
      <c r="D153">
        <f>IF(AtoutsHandicapsMatos!$C$7=A153,1,0)</f>
        <v>0</v>
      </c>
      <c r="E153">
        <f>IF(AtoutsHandicapsMatos!$C$8=A153,1,0)</f>
        <v>0</v>
      </c>
      <c r="F153">
        <f>IF(AtoutsHandicapsMatos!$C$9=A153,1,0)</f>
        <v>0</v>
      </c>
      <c r="G153">
        <f>IF(AtoutsHandicapsMatos!$C$10=A153,1,0)</f>
        <v>0</v>
      </c>
      <c r="H153">
        <f>IF(AtoutsHandicapsMatos!$C$11=A153,1,0)</f>
        <v>0</v>
      </c>
      <c r="I153">
        <f>IF(AtoutsHandicapsMatos!$C$12=A153,1,0)</f>
        <v>0</v>
      </c>
      <c r="J153">
        <f>IF(AtoutsHandicapsMatos!$C$13=A153,1,0)</f>
        <v>0</v>
      </c>
      <c r="K153">
        <f>IF(AtoutsHandicapsMatos!$C$14=A153,1,0)</f>
        <v>0</v>
      </c>
      <c r="L153">
        <f>IF('Perso Reloaded'!$L$20=A153,1,0)</f>
        <v>0</v>
      </c>
      <c r="M153">
        <f>IF('Perso Reloaded'!$L$21=A153,1,0)</f>
        <v>0</v>
      </c>
      <c r="N153">
        <f>IF('Perso Reloaded'!$L$22=A153,1,0)</f>
        <v>0</v>
      </c>
      <c r="O153">
        <f>IF('Perso Reloaded'!$L$23=A153,1,0)</f>
        <v>0</v>
      </c>
      <c r="P153">
        <f>IF('Perso Reloaded'!$L$24=A153,1,0)</f>
        <v>0</v>
      </c>
      <c r="Q153">
        <f>IF('Perso Reloaded'!$L$25=A153,1,0)</f>
        <v>0</v>
      </c>
      <c r="R153">
        <f>IF('Perso Reloaded'!$L$26=A153,1,0)</f>
        <v>0</v>
      </c>
      <c r="S153">
        <f>IF('Perso Reloaded'!$L$27=A153,1,0)</f>
        <v>0</v>
      </c>
      <c r="T153">
        <f t="shared" si="5"/>
        <v>0</v>
      </c>
      <c r="U153" t="b">
        <f t="shared" si="6"/>
        <v>0</v>
      </c>
    </row>
    <row r="154" spans="1:21" x14ac:dyDescent="0.3">
      <c r="A154" s="65" t="s">
        <v>4725</v>
      </c>
      <c r="B154">
        <f>IF(AtoutsHandicapsMatos!$C$5=A154,1,0)</f>
        <v>0</v>
      </c>
      <c r="C154">
        <f>IF(AtoutsHandicapsMatos!$C$6=A154,1,0)</f>
        <v>0</v>
      </c>
      <c r="D154">
        <f>IF(AtoutsHandicapsMatos!$C$7=A154,1,0)</f>
        <v>0</v>
      </c>
      <c r="E154">
        <f>IF(AtoutsHandicapsMatos!$C$8=A154,1,0)</f>
        <v>0</v>
      </c>
      <c r="F154">
        <f>IF(AtoutsHandicapsMatos!$C$9=A154,1,0)</f>
        <v>0</v>
      </c>
      <c r="G154">
        <f>IF(AtoutsHandicapsMatos!$C$10=A154,1,0)</f>
        <v>0</v>
      </c>
      <c r="H154">
        <f>IF(AtoutsHandicapsMatos!$C$11=A154,1,0)</f>
        <v>0</v>
      </c>
      <c r="I154">
        <f>IF(AtoutsHandicapsMatos!$C$12=A154,1,0)</f>
        <v>0</v>
      </c>
      <c r="J154">
        <f>IF(AtoutsHandicapsMatos!$C$13=A154,1,0)</f>
        <v>0</v>
      </c>
      <c r="K154">
        <f>IF(AtoutsHandicapsMatos!$C$14=A154,1,0)</f>
        <v>0</v>
      </c>
      <c r="L154">
        <f>IF('Perso Reloaded'!$L$20=A154,1,0)</f>
        <v>0</v>
      </c>
      <c r="M154">
        <f>IF('Perso Reloaded'!$L$21=A154,1,0)</f>
        <v>0</v>
      </c>
      <c r="N154">
        <f>IF('Perso Reloaded'!$L$22=A154,1,0)</f>
        <v>0</v>
      </c>
      <c r="O154">
        <f>IF('Perso Reloaded'!$L$23=A154,1,0)</f>
        <v>0</v>
      </c>
      <c r="P154">
        <f>IF('Perso Reloaded'!$L$24=A154,1,0)</f>
        <v>0</v>
      </c>
      <c r="Q154">
        <f>IF('Perso Reloaded'!$L$25=A154,1,0)</f>
        <v>0</v>
      </c>
      <c r="R154">
        <f>IF('Perso Reloaded'!$L$26=A154,1,0)</f>
        <v>0</v>
      </c>
      <c r="S154">
        <f>IF('Perso Reloaded'!$L$27=A154,1,0)</f>
        <v>0</v>
      </c>
      <c r="T154">
        <f t="shared" si="5"/>
        <v>0</v>
      </c>
      <c r="U154" t="b">
        <f t="shared" si="6"/>
        <v>0</v>
      </c>
    </row>
    <row r="155" spans="1:21" x14ac:dyDescent="0.3">
      <c r="A155" s="65" t="s">
        <v>3263</v>
      </c>
      <c r="B155">
        <f>IF(AtoutsHandicapsMatos!$C$5=A155,1,0)</f>
        <v>0</v>
      </c>
      <c r="C155">
        <f>IF(AtoutsHandicapsMatos!$C$6=A155,1,0)</f>
        <v>0</v>
      </c>
      <c r="D155">
        <f>IF(AtoutsHandicapsMatos!$C$7=A155,1,0)</f>
        <v>0</v>
      </c>
      <c r="E155">
        <f>IF(AtoutsHandicapsMatos!$C$8=A155,1,0)</f>
        <v>0</v>
      </c>
      <c r="F155">
        <f>IF(AtoutsHandicapsMatos!$C$9=A155,1,0)</f>
        <v>0</v>
      </c>
      <c r="G155">
        <f>IF(AtoutsHandicapsMatos!$C$10=A155,1,0)</f>
        <v>0</v>
      </c>
      <c r="H155">
        <f>IF(AtoutsHandicapsMatos!$C$11=A155,1,0)</f>
        <v>0</v>
      </c>
      <c r="I155">
        <f>IF(AtoutsHandicapsMatos!$C$12=A155,1,0)</f>
        <v>0</v>
      </c>
      <c r="J155">
        <f>IF(AtoutsHandicapsMatos!$C$13=A155,1,0)</f>
        <v>0</v>
      </c>
      <c r="K155">
        <f>IF(AtoutsHandicapsMatos!$C$14=A155,1,0)</f>
        <v>0</v>
      </c>
      <c r="L155">
        <f>IF('Perso Reloaded'!$L$20=A155,1,0)</f>
        <v>0</v>
      </c>
      <c r="M155">
        <f>IF('Perso Reloaded'!$L$21=A155,1,0)</f>
        <v>0</v>
      </c>
      <c r="N155">
        <f>IF('Perso Reloaded'!$L$22=A155,1,0)</f>
        <v>0</v>
      </c>
      <c r="O155">
        <f>IF('Perso Reloaded'!$L$23=A155,1,0)</f>
        <v>0</v>
      </c>
      <c r="P155">
        <f>IF('Perso Reloaded'!$L$24=A155,1,0)</f>
        <v>0</v>
      </c>
      <c r="Q155">
        <f>IF('Perso Reloaded'!$L$25=A155,1,0)</f>
        <v>0</v>
      </c>
      <c r="R155">
        <f>IF('Perso Reloaded'!$L$26=A155,1,0)</f>
        <v>0</v>
      </c>
      <c r="S155">
        <f>IF('Perso Reloaded'!$L$27=A155,1,0)</f>
        <v>0</v>
      </c>
      <c r="T155">
        <f t="shared" si="5"/>
        <v>0</v>
      </c>
      <c r="U155" t="b">
        <f t="shared" si="6"/>
        <v>0</v>
      </c>
    </row>
    <row r="156" spans="1:21" x14ac:dyDescent="0.3">
      <c r="A156" s="65" t="s">
        <v>3264</v>
      </c>
      <c r="B156">
        <f>IF(AtoutsHandicapsMatos!$C$5=A156,1,0)</f>
        <v>0</v>
      </c>
      <c r="C156">
        <f>IF(AtoutsHandicapsMatos!$C$6=A156,1,0)</f>
        <v>0</v>
      </c>
      <c r="D156">
        <f>IF(AtoutsHandicapsMatos!$C$7=A156,1,0)</f>
        <v>0</v>
      </c>
      <c r="E156">
        <f>IF(AtoutsHandicapsMatos!$C$8=A156,1,0)</f>
        <v>0</v>
      </c>
      <c r="F156">
        <f>IF(AtoutsHandicapsMatos!$C$9=A156,1,0)</f>
        <v>0</v>
      </c>
      <c r="G156">
        <f>IF(AtoutsHandicapsMatos!$C$10=A156,1,0)</f>
        <v>0</v>
      </c>
      <c r="H156">
        <f>IF(AtoutsHandicapsMatos!$C$11=A156,1,0)</f>
        <v>0</v>
      </c>
      <c r="I156">
        <f>IF(AtoutsHandicapsMatos!$C$12=A156,1,0)</f>
        <v>0</v>
      </c>
      <c r="J156">
        <f>IF(AtoutsHandicapsMatos!$C$13=A156,1,0)</f>
        <v>0</v>
      </c>
      <c r="K156">
        <f>IF(AtoutsHandicapsMatos!$C$14=A156,1,0)</f>
        <v>0</v>
      </c>
      <c r="L156">
        <f>IF('Perso Reloaded'!$L$20=A156,1,0)</f>
        <v>0</v>
      </c>
      <c r="M156">
        <f>IF('Perso Reloaded'!$L$21=A156,1,0)</f>
        <v>0</v>
      </c>
      <c r="N156">
        <f>IF('Perso Reloaded'!$L$22=A156,1,0)</f>
        <v>0</v>
      </c>
      <c r="O156">
        <f>IF('Perso Reloaded'!$L$23=A156,1,0)</f>
        <v>0</v>
      </c>
      <c r="P156">
        <f>IF('Perso Reloaded'!$L$24=A156,1,0)</f>
        <v>0</v>
      </c>
      <c r="Q156">
        <f>IF('Perso Reloaded'!$L$25=A156,1,0)</f>
        <v>0</v>
      </c>
      <c r="R156">
        <f>IF('Perso Reloaded'!$L$26=A156,1,0)</f>
        <v>0</v>
      </c>
      <c r="S156">
        <f>IF('Perso Reloaded'!$L$27=A156,1,0)</f>
        <v>0</v>
      </c>
      <c r="T156">
        <f t="shared" si="5"/>
        <v>0</v>
      </c>
      <c r="U156" t="b">
        <f t="shared" si="6"/>
        <v>0</v>
      </c>
    </row>
    <row r="157" spans="1:21" x14ac:dyDescent="0.3">
      <c r="A157" s="65" t="s">
        <v>3272</v>
      </c>
      <c r="B157">
        <f>IF(AtoutsHandicapsMatos!$C$5=A157,1,0)</f>
        <v>0</v>
      </c>
      <c r="C157">
        <f>IF(AtoutsHandicapsMatos!$C$6=A157,1,0)</f>
        <v>0</v>
      </c>
      <c r="D157">
        <f>IF(AtoutsHandicapsMatos!$C$7=A157,1,0)</f>
        <v>0</v>
      </c>
      <c r="E157">
        <f>IF(AtoutsHandicapsMatos!$C$8=A157,1,0)</f>
        <v>0</v>
      </c>
      <c r="F157">
        <f>IF(AtoutsHandicapsMatos!$C$9=A157,1,0)</f>
        <v>0</v>
      </c>
      <c r="G157">
        <f>IF(AtoutsHandicapsMatos!$C$10=A157,1,0)</f>
        <v>0</v>
      </c>
      <c r="H157">
        <f>IF(AtoutsHandicapsMatos!$C$11=A157,1,0)</f>
        <v>0</v>
      </c>
      <c r="I157">
        <f>IF(AtoutsHandicapsMatos!$C$12=A157,1,0)</f>
        <v>0</v>
      </c>
      <c r="J157">
        <f>IF(AtoutsHandicapsMatos!$C$13=A157,1,0)</f>
        <v>0</v>
      </c>
      <c r="K157">
        <f>IF(AtoutsHandicapsMatos!$C$14=A157,1,0)</f>
        <v>0</v>
      </c>
      <c r="L157">
        <f>IF('Perso Reloaded'!$L$20=A157,1,0)</f>
        <v>0</v>
      </c>
      <c r="M157">
        <f>IF('Perso Reloaded'!$L$21=A157,1,0)</f>
        <v>0</v>
      </c>
      <c r="N157">
        <f>IF('Perso Reloaded'!$L$22=A157,1,0)</f>
        <v>0</v>
      </c>
      <c r="O157">
        <f>IF('Perso Reloaded'!$L$23=A157,1,0)</f>
        <v>0</v>
      </c>
      <c r="P157">
        <f>IF('Perso Reloaded'!$L$24=A157,1,0)</f>
        <v>0</v>
      </c>
      <c r="Q157">
        <f>IF('Perso Reloaded'!$L$25=A157,1,0)</f>
        <v>0</v>
      </c>
      <c r="R157">
        <f>IF('Perso Reloaded'!$L$26=A157,1,0)</f>
        <v>0</v>
      </c>
      <c r="S157">
        <f>IF('Perso Reloaded'!$L$27=A157,1,0)</f>
        <v>0</v>
      </c>
      <c r="T157">
        <f t="shared" si="5"/>
        <v>0</v>
      </c>
      <c r="U157" t="b">
        <f t="shared" si="6"/>
        <v>0</v>
      </c>
    </row>
    <row r="158" spans="1:21" x14ac:dyDescent="0.3">
      <c r="A158" s="65" t="s">
        <v>3273</v>
      </c>
      <c r="B158">
        <f>IF(AtoutsHandicapsMatos!$C$5=A158,1,0)</f>
        <v>0</v>
      </c>
      <c r="C158">
        <f>IF(AtoutsHandicapsMatos!$C$6=A158,1,0)</f>
        <v>0</v>
      </c>
      <c r="D158">
        <f>IF(AtoutsHandicapsMatos!$C$7=A158,1,0)</f>
        <v>0</v>
      </c>
      <c r="E158">
        <f>IF(AtoutsHandicapsMatos!$C$8=A158,1,0)</f>
        <v>0</v>
      </c>
      <c r="F158">
        <f>IF(AtoutsHandicapsMatos!$C$9=A158,1,0)</f>
        <v>0</v>
      </c>
      <c r="G158">
        <f>IF(AtoutsHandicapsMatos!$C$10=A158,1,0)</f>
        <v>0</v>
      </c>
      <c r="H158">
        <f>IF(AtoutsHandicapsMatos!$C$11=A158,1,0)</f>
        <v>0</v>
      </c>
      <c r="I158">
        <f>IF(AtoutsHandicapsMatos!$C$12=A158,1,0)</f>
        <v>0</v>
      </c>
      <c r="J158">
        <f>IF(AtoutsHandicapsMatos!$C$13=A158,1,0)</f>
        <v>0</v>
      </c>
      <c r="K158">
        <f>IF(AtoutsHandicapsMatos!$C$14=A158,1,0)</f>
        <v>0</v>
      </c>
      <c r="L158">
        <f>IF('Perso Reloaded'!$L$20=A158,1,0)</f>
        <v>0</v>
      </c>
      <c r="M158">
        <f>IF('Perso Reloaded'!$L$21=A158,1,0)</f>
        <v>0</v>
      </c>
      <c r="N158">
        <f>IF('Perso Reloaded'!$L$22=A158,1,0)</f>
        <v>0</v>
      </c>
      <c r="O158">
        <f>IF('Perso Reloaded'!$L$23=A158,1,0)</f>
        <v>0</v>
      </c>
      <c r="P158">
        <f>IF('Perso Reloaded'!$L$24=A158,1,0)</f>
        <v>0</v>
      </c>
      <c r="Q158">
        <f>IF('Perso Reloaded'!$L$25=A158,1,0)</f>
        <v>0</v>
      </c>
      <c r="R158">
        <f>IF('Perso Reloaded'!$L$26=A158,1,0)</f>
        <v>0</v>
      </c>
      <c r="S158">
        <f>IF('Perso Reloaded'!$L$27=A158,1,0)</f>
        <v>0</v>
      </c>
      <c r="T158">
        <f t="shared" si="5"/>
        <v>0</v>
      </c>
      <c r="U158" t="b">
        <f t="shared" si="6"/>
        <v>0</v>
      </c>
    </row>
    <row r="159" spans="1:21" x14ac:dyDescent="0.3">
      <c r="A159" s="65" t="str">
        <f>IF(OR(SexePerso="Féminin",'Perso Reloaded'!$C$6="Féminin"),"Soeur de Sang/Kemosabe","Frère de Sang/Kemosabe")</f>
        <v>Frère de Sang/Kemosabe</v>
      </c>
      <c r="B159">
        <f>IF(AtoutsHandicapsMatos!$C$5=A159,1,0)</f>
        <v>0</v>
      </c>
      <c r="C159">
        <f>IF(AtoutsHandicapsMatos!$C$6=A159,1,0)</f>
        <v>0</v>
      </c>
      <c r="D159">
        <f>IF(AtoutsHandicapsMatos!$C$7=A159,1,0)</f>
        <v>0</v>
      </c>
      <c r="E159">
        <f>IF(AtoutsHandicapsMatos!$C$8=A159,1,0)</f>
        <v>0</v>
      </c>
      <c r="F159">
        <f>IF(AtoutsHandicapsMatos!$C$9=A159,1,0)</f>
        <v>0</v>
      </c>
      <c r="G159">
        <f>IF(AtoutsHandicapsMatos!$C$10=A159,1,0)</f>
        <v>0</v>
      </c>
      <c r="H159">
        <f>IF(AtoutsHandicapsMatos!$C$11=A159,1,0)</f>
        <v>0</v>
      </c>
      <c r="I159">
        <f>IF(AtoutsHandicapsMatos!$C$12=A159,1,0)</f>
        <v>0</v>
      </c>
      <c r="J159">
        <f>IF(AtoutsHandicapsMatos!$C$13=A159,1,0)</f>
        <v>0</v>
      </c>
      <c r="K159">
        <f>IF(AtoutsHandicapsMatos!$C$14=A159,1,0)</f>
        <v>0</v>
      </c>
      <c r="L159">
        <f>IF('Perso Reloaded'!$L$20=A159,1,0)</f>
        <v>0</v>
      </c>
      <c r="M159">
        <f>IF('Perso Reloaded'!$L$21=A159,1,0)</f>
        <v>0</v>
      </c>
      <c r="N159">
        <f>IF('Perso Reloaded'!$L$22=A159,1,0)</f>
        <v>0</v>
      </c>
      <c r="O159">
        <f>IF('Perso Reloaded'!$L$23=A159,1,0)</f>
        <v>0</v>
      </c>
      <c r="P159">
        <f>IF('Perso Reloaded'!$L$24=A159,1,0)</f>
        <v>0</v>
      </c>
      <c r="Q159">
        <f>IF('Perso Reloaded'!$L$25=A159,1,0)</f>
        <v>0</v>
      </c>
      <c r="R159">
        <f>IF('Perso Reloaded'!$L$26=A159,1,0)</f>
        <v>0</v>
      </c>
      <c r="S159">
        <f>IF('Perso Reloaded'!$L$27=A159,1,0)</f>
        <v>0</v>
      </c>
      <c r="T159">
        <f t="shared" si="5"/>
        <v>0</v>
      </c>
      <c r="U159" t="b">
        <f t="shared" si="6"/>
        <v>0</v>
      </c>
    </row>
    <row r="160" spans="1:21" x14ac:dyDescent="0.3">
      <c r="A160" s="65" t="s">
        <v>3559</v>
      </c>
      <c r="B160">
        <f>IF(AtoutsHandicapsMatos!$C$5=A160,1,0)</f>
        <v>0</v>
      </c>
      <c r="C160">
        <f>IF(AtoutsHandicapsMatos!$C$6=A160,1,0)</f>
        <v>0</v>
      </c>
      <c r="D160">
        <f>IF(AtoutsHandicapsMatos!$C$7=A160,1,0)</f>
        <v>0</v>
      </c>
      <c r="E160">
        <f>IF(AtoutsHandicapsMatos!$C$8=A160,1,0)</f>
        <v>0</v>
      </c>
      <c r="F160">
        <f>IF(AtoutsHandicapsMatos!$C$9=A160,1,0)</f>
        <v>0</v>
      </c>
      <c r="G160">
        <f>IF(AtoutsHandicapsMatos!$C$10=A160,1,0)</f>
        <v>0</v>
      </c>
      <c r="H160">
        <f>IF(AtoutsHandicapsMatos!$C$11=A160,1,0)</f>
        <v>0</v>
      </c>
      <c r="I160">
        <f>IF(AtoutsHandicapsMatos!$C$12=A160,1,0)</f>
        <v>0</v>
      </c>
      <c r="J160">
        <f>IF(AtoutsHandicapsMatos!$C$13=A160,1,0)</f>
        <v>0</v>
      </c>
      <c r="K160">
        <f>IF(AtoutsHandicapsMatos!$C$14=A160,1,0)</f>
        <v>0</v>
      </c>
      <c r="L160">
        <f>IF('Perso Reloaded'!$L$20=A160,1,0)</f>
        <v>0</v>
      </c>
      <c r="M160">
        <f>IF('Perso Reloaded'!$L$21=A160,1,0)</f>
        <v>0</v>
      </c>
      <c r="N160">
        <f>IF('Perso Reloaded'!$L$22=A160,1,0)</f>
        <v>0</v>
      </c>
      <c r="O160">
        <f>IF('Perso Reloaded'!$L$23=A160,1,0)</f>
        <v>0</v>
      </c>
      <c r="P160">
        <f>IF('Perso Reloaded'!$L$24=A160,1,0)</f>
        <v>0</v>
      </c>
      <c r="Q160">
        <f>IF('Perso Reloaded'!$L$25=A160,1,0)</f>
        <v>0</v>
      </c>
      <c r="R160">
        <f>IF('Perso Reloaded'!$L$26=A160,1,0)</f>
        <v>0</v>
      </c>
      <c r="S160">
        <f>IF('Perso Reloaded'!$L$27=A160,1,0)</f>
        <v>0</v>
      </c>
      <c r="T160">
        <f t="shared" si="5"/>
        <v>0</v>
      </c>
      <c r="U160" t="b">
        <f t="shared" si="6"/>
        <v>0</v>
      </c>
    </row>
    <row r="161" spans="1:21" x14ac:dyDescent="0.3">
      <c r="A161" s="65" t="str">
        <f>IF(OR(SexePerso="Féminin",'Perso Reloaded'!$C$6="Féminin"),"Fuera","Fuero")</f>
        <v>Fuero</v>
      </c>
      <c r="B161">
        <f>IF(AtoutsHandicapsMatos!$C$5=A161,1,0)</f>
        <v>0</v>
      </c>
      <c r="C161">
        <f>IF(AtoutsHandicapsMatos!$C$6=A161,1,0)</f>
        <v>0</v>
      </c>
      <c r="D161">
        <f>IF(AtoutsHandicapsMatos!$C$7=A161,1,0)</f>
        <v>0</v>
      </c>
      <c r="E161">
        <f>IF(AtoutsHandicapsMatos!$C$8=A161,1,0)</f>
        <v>0</v>
      </c>
      <c r="F161">
        <f>IF(AtoutsHandicapsMatos!$C$9=A161,1,0)</f>
        <v>0</v>
      </c>
      <c r="G161">
        <f>IF(AtoutsHandicapsMatos!$C$10=A161,1,0)</f>
        <v>0</v>
      </c>
      <c r="H161">
        <f>IF(AtoutsHandicapsMatos!$C$11=A161,1,0)</f>
        <v>0</v>
      </c>
      <c r="I161">
        <f>IF(AtoutsHandicapsMatos!$C$12=A161,1,0)</f>
        <v>0</v>
      </c>
      <c r="J161">
        <f>IF(AtoutsHandicapsMatos!$C$13=A161,1,0)</f>
        <v>0</v>
      </c>
      <c r="K161">
        <f>IF(AtoutsHandicapsMatos!$C$14=A161,1,0)</f>
        <v>0</v>
      </c>
      <c r="L161">
        <f>IF('Perso Reloaded'!$L$20=A161,1,0)</f>
        <v>0</v>
      </c>
      <c r="M161">
        <f>IF('Perso Reloaded'!$L$21=A161,1,0)</f>
        <v>0</v>
      </c>
      <c r="N161">
        <f>IF('Perso Reloaded'!$L$22=A161,1,0)</f>
        <v>0</v>
      </c>
      <c r="O161">
        <f>IF('Perso Reloaded'!$L$23=A161,1,0)</f>
        <v>0</v>
      </c>
      <c r="P161">
        <f>IF('Perso Reloaded'!$L$24=A161,1,0)</f>
        <v>0</v>
      </c>
      <c r="Q161">
        <f>IF('Perso Reloaded'!$L$25=A161,1,0)</f>
        <v>0</v>
      </c>
      <c r="R161">
        <f>IF('Perso Reloaded'!$L$26=A161,1,0)</f>
        <v>0</v>
      </c>
      <c r="S161">
        <f>IF('Perso Reloaded'!$L$27=A161,1,0)</f>
        <v>0</v>
      </c>
      <c r="T161">
        <f t="shared" si="5"/>
        <v>0</v>
      </c>
      <c r="U161" t="b">
        <f t="shared" si="6"/>
        <v>0</v>
      </c>
    </row>
    <row r="162" spans="1:21" x14ac:dyDescent="0.3">
      <c r="A162" s="65" t="s">
        <v>3316</v>
      </c>
      <c r="B162">
        <f>IF(AtoutsHandicapsMatos!$C$5=A162,1,0)</f>
        <v>0</v>
      </c>
      <c r="C162">
        <f>IF(AtoutsHandicapsMatos!$C$6=A162,1,0)</f>
        <v>0</v>
      </c>
      <c r="D162">
        <f>IF(AtoutsHandicapsMatos!$C$7=A162,1,0)</f>
        <v>0</v>
      </c>
      <c r="E162">
        <f>IF(AtoutsHandicapsMatos!$C$8=A162,1,0)</f>
        <v>0</v>
      </c>
      <c r="F162">
        <f>IF(AtoutsHandicapsMatos!$C$9=A162,1,0)</f>
        <v>0</v>
      </c>
      <c r="G162">
        <f>IF(AtoutsHandicapsMatos!$C$10=A162,1,0)</f>
        <v>0</v>
      </c>
      <c r="H162">
        <f>IF(AtoutsHandicapsMatos!$C$11=A162,1,0)</f>
        <v>0</v>
      </c>
      <c r="I162">
        <f>IF(AtoutsHandicapsMatos!$C$12=A162,1,0)</f>
        <v>0</v>
      </c>
      <c r="J162">
        <f>IF(AtoutsHandicapsMatos!$C$13=A162,1,0)</f>
        <v>0</v>
      </c>
      <c r="K162">
        <f>IF(AtoutsHandicapsMatos!$C$14=A162,1,0)</f>
        <v>0</v>
      </c>
      <c r="L162">
        <f>IF('Perso Reloaded'!$L$20=A162,1,0)</f>
        <v>0</v>
      </c>
      <c r="M162">
        <f>IF('Perso Reloaded'!$L$21=A162,1,0)</f>
        <v>0</v>
      </c>
      <c r="N162">
        <f>IF('Perso Reloaded'!$L$22=A162,1,0)</f>
        <v>0</v>
      </c>
      <c r="O162">
        <f>IF('Perso Reloaded'!$L$23=A162,1,0)</f>
        <v>0</v>
      </c>
      <c r="P162">
        <f>IF('Perso Reloaded'!$L$24=A162,1,0)</f>
        <v>0</v>
      </c>
      <c r="Q162">
        <f>IF('Perso Reloaded'!$L$25=A162,1,0)</f>
        <v>0</v>
      </c>
      <c r="R162">
        <f>IF('Perso Reloaded'!$L$26=A162,1,0)</f>
        <v>0</v>
      </c>
      <c r="S162">
        <f>IF('Perso Reloaded'!$L$27=A162,1,0)</f>
        <v>0</v>
      </c>
      <c r="T162">
        <f t="shared" si="5"/>
        <v>0</v>
      </c>
      <c r="U162" t="b">
        <f t="shared" si="6"/>
        <v>0</v>
      </c>
    </row>
    <row r="163" spans="1:21" x14ac:dyDescent="0.3">
      <c r="A163" s="65" t="s">
        <v>1046</v>
      </c>
      <c r="B163">
        <f>IF(AtoutsHandicapsMatos!$C$5=A163,1,0)</f>
        <v>0</v>
      </c>
      <c r="C163">
        <f>IF(AtoutsHandicapsMatos!$C$6=A163,1,0)</f>
        <v>0</v>
      </c>
      <c r="D163">
        <f>IF(AtoutsHandicapsMatos!$C$7=A163,1,0)</f>
        <v>0</v>
      </c>
      <c r="E163">
        <f>IF(AtoutsHandicapsMatos!$C$8=A163,1,0)</f>
        <v>0</v>
      </c>
      <c r="F163">
        <f>IF(AtoutsHandicapsMatos!$C$9=A163,1,0)</f>
        <v>0</v>
      </c>
      <c r="G163">
        <f>IF(AtoutsHandicapsMatos!$C$10=A163,1,0)</f>
        <v>0</v>
      </c>
      <c r="H163">
        <f>IF(AtoutsHandicapsMatos!$C$11=A163,1,0)</f>
        <v>0</v>
      </c>
      <c r="I163">
        <f>IF(AtoutsHandicapsMatos!$C$12=A163,1,0)</f>
        <v>0</v>
      </c>
      <c r="J163">
        <f>IF(AtoutsHandicapsMatos!$C$13=A163,1,0)</f>
        <v>0</v>
      </c>
      <c r="K163">
        <f>IF(AtoutsHandicapsMatos!$C$14=A163,1,0)</f>
        <v>0</v>
      </c>
      <c r="L163">
        <f>IF('Perso Reloaded'!$L$20=A163,1,0)</f>
        <v>0</v>
      </c>
      <c r="M163">
        <f>IF('Perso Reloaded'!$L$21=A163,1,0)</f>
        <v>0</v>
      </c>
      <c r="N163">
        <f>IF('Perso Reloaded'!$L$22=A163,1,0)</f>
        <v>0</v>
      </c>
      <c r="O163">
        <f>IF('Perso Reloaded'!$L$23=A163,1,0)</f>
        <v>0</v>
      </c>
      <c r="P163">
        <f>IF('Perso Reloaded'!$L$24=A163,1,0)</f>
        <v>0</v>
      </c>
      <c r="Q163">
        <f>IF('Perso Reloaded'!$L$25=A163,1,0)</f>
        <v>0</v>
      </c>
      <c r="R163">
        <f>IF('Perso Reloaded'!$L$26=A163,1,0)</f>
        <v>0</v>
      </c>
      <c r="S163">
        <f>IF('Perso Reloaded'!$L$27=A163,1,0)</f>
        <v>0</v>
      </c>
      <c r="T163">
        <f t="shared" si="5"/>
        <v>0</v>
      </c>
      <c r="U163" t="b">
        <f t="shared" si="6"/>
        <v>0</v>
      </c>
    </row>
    <row r="164" spans="1:21" x14ac:dyDescent="0.3">
      <c r="A164" s="65" t="s">
        <v>1047</v>
      </c>
      <c r="B164">
        <f>IF(AtoutsHandicapsMatos!$C$5=A164,1,0)</f>
        <v>0</v>
      </c>
      <c r="C164">
        <f>IF(AtoutsHandicapsMatos!$C$6=A164,1,0)</f>
        <v>0</v>
      </c>
      <c r="D164">
        <f>IF(AtoutsHandicapsMatos!$C$7=A164,1,0)</f>
        <v>0</v>
      </c>
      <c r="E164">
        <f>IF(AtoutsHandicapsMatos!$C$8=A164,1,0)</f>
        <v>0</v>
      </c>
      <c r="F164">
        <f>IF(AtoutsHandicapsMatos!$C$9=A164,1,0)</f>
        <v>0</v>
      </c>
      <c r="G164">
        <f>IF(AtoutsHandicapsMatos!$C$10=A164,1,0)</f>
        <v>0</v>
      </c>
      <c r="H164">
        <f>IF(AtoutsHandicapsMatos!$C$11=A164,1,0)</f>
        <v>0</v>
      </c>
      <c r="I164">
        <f>IF(AtoutsHandicapsMatos!$C$12=A164,1,0)</f>
        <v>0</v>
      </c>
      <c r="J164">
        <f>IF(AtoutsHandicapsMatos!$C$13=A164,1,0)</f>
        <v>0</v>
      </c>
      <c r="K164">
        <f>IF(AtoutsHandicapsMatos!$C$14=A164,1,0)</f>
        <v>0</v>
      </c>
      <c r="L164">
        <f>IF('Perso Reloaded'!$L$20=A164,1,0)</f>
        <v>0</v>
      </c>
      <c r="M164">
        <f>IF('Perso Reloaded'!$L$21=A164,1,0)</f>
        <v>0</v>
      </c>
      <c r="N164">
        <f>IF('Perso Reloaded'!$L$22=A164,1,0)</f>
        <v>0</v>
      </c>
      <c r="O164">
        <f>IF('Perso Reloaded'!$L$23=A164,1,0)</f>
        <v>0</v>
      </c>
      <c r="P164">
        <f>IF('Perso Reloaded'!$L$24=A164,1,0)</f>
        <v>0</v>
      </c>
      <c r="Q164">
        <f>IF('Perso Reloaded'!$L$25=A164,1,0)</f>
        <v>0</v>
      </c>
      <c r="R164">
        <f>IF('Perso Reloaded'!$L$26=A164,1,0)</f>
        <v>0</v>
      </c>
      <c r="S164">
        <f>IF('Perso Reloaded'!$L$27=A164,1,0)</f>
        <v>0</v>
      </c>
      <c r="T164">
        <f t="shared" si="5"/>
        <v>0</v>
      </c>
      <c r="U164" t="b">
        <f t="shared" si="6"/>
        <v>0</v>
      </c>
    </row>
    <row r="165" spans="1:21" x14ac:dyDescent="0.3">
      <c r="A165" s="65" t="s">
        <v>1048</v>
      </c>
      <c r="B165">
        <f>IF(AtoutsHandicapsMatos!$C$5=A165,1,0)</f>
        <v>0</v>
      </c>
      <c r="C165">
        <f>IF(AtoutsHandicapsMatos!$C$6=A165,1,0)</f>
        <v>0</v>
      </c>
      <c r="D165">
        <f>IF(AtoutsHandicapsMatos!$C$7=A165,1,0)</f>
        <v>0</v>
      </c>
      <c r="E165">
        <f>IF(AtoutsHandicapsMatos!$C$8=A165,1,0)</f>
        <v>0</v>
      </c>
      <c r="F165">
        <f>IF(AtoutsHandicapsMatos!$C$9=A165,1,0)</f>
        <v>0</v>
      </c>
      <c r="G165">
        <f>IF(AtoutsHandicapsMatos!$C$10=A165,1,0)</f>
        <v>0</v>
      </c>
      <c r="H165">
        <f>IF(AtoutsHandicapsMatos!$C$11=A165,1,0)</f>
        <v>0</v>
      </c>
      <c r="I165">
        <f>IF(AtoutsHandicapsMatos!$C$12=A165,1,0)</f>
        <v>0</v>
      </c>
      <c r="J165">
        <f>IF(AtoutsHandicapsMatos!$C$13=A165,1,0)</f>
        <v>0</v>
      </c>
      <c r="K165">
        <f>IF(AtoutsHandicapsMatos!$C$14=A165,1,0)</f>
        <v>0</v>
      </c>
      <c r="L165">
        <f>IF('Perso Reloaded'!$L$20=A165,1,0)</f>
        <v>0</v>
      </c>
      <c r="M165">
        <f>IF('Perso Reloaded'!$L$21=A165,1,0)</f>
        <v>0</v>
      </c>
      <c r="N165">
        <f>IF('Perso Reloaded'!$L$22=A165,1,0)</f>
        <v>0</v>
      </c>
      <c r="O165">
        <f>IF('Perso Reloaded'!$L$23=A165,1,0)</f>
        <v>0</v>
      </c>
      <c r="P165">
        <f>IF('Perso Reloaded'!$L$24=A165,1,0)</f>
        <v>0</v>
      </c>
      <c r="Q165">
        <f>IF('Perso Reloaded'!$L$25=A165,1,0)</f>
        <v>0</v>
      </c>
      <c r="R165">
        <f>IF('Perso Reloaded'!$L$26=A165,1,0)</f>
        <v>0</v>
      </c>
      <c r="S165">
        <f>IF('Perso Reloaded'!$L$27=A165,1,0)</f>
        <v>0</v>
      </c>
      <c r="T165">
        <f t="shared" si="5"/>
        <v>0</v>
      </c>
      <c r="U165" t="b">
        <f t="shared" si="6"/>
        <v>0</v>
      </c>
    </row>
    <row r="166" spans="1:21" x14ac:dyDescent="0.3">
      <c r="A166" s="65" t="s">
        <v>1049</v>
      </c>
      <c r="B166">
        <f>IF(AtoutsHandicapsMatos!$C$5=A166,1,0)</f>
        <v>0</v>
      </c>
      <c r="C166">
        <f>IF(AtoutsHandicapsMatos!$C$6=A166,1,0)</f>
        <v>0</v>
      </c>
      <c r="D166">
        <f>IF(AtoutsHandicapsMatos!$C$7=A166,1,0)</f>
        <v>0</v>
      </c>
      <c r="E166">
        <f>IF(AtoutsHandicapsMatos!$C$8=A166,1,0)</f>
        <v>0</v>
      </c>
      <c r="F166">
        <f>IF(AtoutsHandicapsMatos!$C$9=A166,1,0)</f>
        <v>0</v>
      </c>
      <c r="G166">
        <f>IF(AtoutsHandicapsMatos!$C$10=A166,1,0)</f>
        <v>0</v>
      </c>
      <c r="H166">
        <f>IF(AtoutsHandicapsMatos!$C$11=A166,1,0)</f>
        <v>0</v>
      </c>
      <c r="I166">
        <f>IF(AtoutsHandicapsMatos!$C$12=A166,1,0)</f>
        <v>0</v>
      </c>
      <c r="J166">
        <f>IF(AtoutsHandicapsMatos!$C$13=A166,1,0)</f>
        <v>0</v>
      </c>
      <c r="K166">
        <f>IF(AtoutsHandicapsMatos!$C$14=A166,1,0)</f>
        <v>0</v>
      </c>
      <c r="L166">
        <f>IF('Perso Reloaded'!$L$20=A166,1,0)</f>
        <v>0</v>
      </c>
      <c r="M166">
        <f>IF('Perso Reloaded'!$L$21=A166,1,0)</f>
        <v>0</v>
      </c>
      <c r="N166">
        <f>IF('Perso Reloaded'!$L$22=A166,1,0)</f>
        <v>0</v>
      </c>
      <c r="O166">
        <f>IF('Perso Reloaded'!$L$23=A166,1,0)</f>
        <v>0</v>
      </c>
      <c r="P166">
        <f>IF('Perso Reloaded'!$L$24=A166,1,0)</f>
        <v>0</v>
      </c>
      <c r="Q166">
        <f>IF('Perso Reloaded'!$L$25=A166,1,0)</f>
        <v>0</v>
      </c>
      <c r="R166">
        <f>IF('Perso Reloaded'!$L$26=A166,1,0)</f>
        <v>0</v>
      </c>
      <c r="S166">
        <f>IF('Perso Reloaded'!$L$27=A166,1,0)</f>
        <v>0</v>
      </c>
      <c r="T166">
        <f t="shared" si="5"/>
        <v>0</v>
      </c>
      <c r="U166" t="b">
        <f t="shared" si="6"/>
        <v>0</v>
      </c>
    </row>
    <row r="167" spans="1:21" x14ac:dyDescent="0.3">
      <c r="A167" s="65" t="str">
        <f>IF(OR(SexePerso="Féminin",'Perso Reloaded'!$C$6="Féminin"),"Grade militaire (générale, amirale)","Grade militaire (général, amiral)")</f>
        <v>Grade militaire (général, amiral)</v>
      </c>
      <c r="B167">
        <f>IF(AtoutsHandicapsMatos!$C$5=A167,1,0)</f>
        <v>0</v>
      </c>
      <c r="C167">
        <f>IF(AtoutsHandicapsMatos!$C$6=A167,1,0)</f>
        <v>0</v>
      </c>
      <c r="D167">
        <f>IF(AtoutsHandicapsMatos!$C$7=A167,1,0)</f>
        <v>0</v>
      </c>
      <c r="E167">
        <f>IF(AtoutsHandicapsMatos!$C$8=A167,1,0)</f>
        <v>0</v>
      </c>
      <c r="F167">
        <f>IF(AtoutsHandicapsMatos!$C$9=A167,1,0)</f>
        <v>0</v>
      </c>
      <c r="G167">
        <f>IF(AtoutsHandicapsMatos!$C$10=A167,1,0)</f>
        <v>0</v>
      </c>
      <c r="H167">
        <f>IF(AtoutsHandicapsMatos!$C$11=A167,1,0)</f>
        <v>0</v>
      </c>
      <c r="I167">
        <f>IF(AtoutsHandicapsMatos!$C$12=A167,1,0)</f>
        <v>0</v>
      </c>
      <c r="J167">
        <f>IF(AtoutsHandicapsMatos!$C$13=A167,1,0)</f>
        <v>0</v>
      </c>
      <c r="K167">
        <f>IF(AtoutsHandicapsMatos!$C$14=A167,1,0)</f>
        <v>0</v>
      </c>
      <c r="L167">
        <f>IF('Perso Reloaded'!$L$20=A167,1,0)</f>
        <v>0</v>
      </c>
      <c r="M167">
        <f>IF('Perso Reloaded'!$L$21=A167,1,0)</f>
        <v>0</v>
      </c>
      <c r="N167">
        <f>IF('Perso Reloaded'!$L$22=A167,1,0)</f>
        <v>0</v>
      </c>
      <c r="O167">
        <f>IF('Perso Reloaded'!$L$23=A167,1,0)</f>
        <v>0</v>
      </c>
      <c r="P167">
        <f>IF('Perso Reloaded'!$L$24=A167,1,0)</f>
        <v>0</v>
      </c>
      <c r="Q167">
        <f>IF('Perso Reloaded'!$L$25=A167,1,0)</f>
        <v>0</v>
      </c>
      <c r="R167">
        <f>IF('Perso Reloaded'!$L$26=A167,1,0)</f>
        <v>0</v>
      </c>
      <c r="S167">
        <f>IF('Perso Reloaded'!$L$27=A167,1,0)</f>
        <v>0</v>
      </c>
      <c r="T167">
        <f t="shared" si="5"/>
        <v>0</v>
      </c>
      <c r="U167" t="b">
        <f t="shared" si="6"/>
        <v>0</v>
      </c>
    </row>
    <row r="168" spans="1:21" x14ac:dyDescent="0.3">
      <c r="A168" s="65" t="s">
        <v>5237</v>
      </c>
      <c r="B168">
        <f>IF(AtoutsHandicapsMatos!$C$5=A168,1,0)</f>
        <v>0</v>
      </c>
      <c r="C168">
        <f>IF(AtoutsHandicapsMatos!$C$6=A168,1,0)</f>
        <v>0</v>
      </c>
      <c r="D168">
        <f>IF(AtoutsHandicapsMatos!$C$7=A168,1,0)</f>
        <v>0</v>
      </c>
      <c r="E168">
        <f>IF(AtoutsHandicapsMatos!$C$8=A168,1,0)</f>
        <v>0</v>
      </c>
      <c r="F168">
        <f>IF(AtoutsHandicapsMatos!$C$9=A168,1,0)</f>
        <v>0</v>
      </c>
      <c r="G168">
        <f>IF(AtoutsHandicapsMatos!$C$10=A168,1,0)</f>
        <v>0</v>
      </c>
      <c r="H168">
        <f>IF(AtoutsHandicapsMatos!$C$11=A168,1,0)</f>
        <v>0</v>
      </c>
      <c r="I168">
        <f>IF(AtoutsHandicapsMatos!$C$12=A168,1,0)</f>
        <v>0</v>
      </c>
      <c r="J168">
        <f>IF(AtoutsHandicapsMatos!$C$13=A168,1,0)</f>
        <v>0</v>
      </c>
      <c r="K168">
        <f>IF(AtoutsHandicapsMatos!$C$14=A168,1,0)</f>
        <v>0</v>
      </c>
      <c r="L168">
        <f>IF('Perso Reloaded'!$L$20=A168,1,0)</f>
        <v>0</v>
      </c>
      <c r="M168">
        <f>IF('Perso Reloaded'!$L$21=A168,1,0)</f>
        <v>0</v>
      </c>
      <c r="N168">
        <f>IF('Perso Reloaded'!$L$22=A168,1,0)</f>
        <v>0</v>
      </c>
      <c r="O168">
        <f>IF('Perso Reloaded'!$L$23=A168,1,0)</f>
        <v>0</v>
      </c>
      <c r="P168">
        <f>IF('Perso Reloaded'!$L$24=A168,1,0)</f>
        <v>0</v>
      </c>
      <c r="Q168">
        <f>IF('Perso Reloaded'!$L$25=A168,1,0)</f>
        <v>0</v>
      </c>
      <c r="R168">
        <f>IF('Perso Reloaded'!$L$26=A168,1,0)</f>
        <v>0</v>
      </c>
      <c r="S168">
        <f>IF('Perso Reloaded'!$L$27=A168,1,0)</f>
        <v>0</v>
      </c>
      <c r="T168">
        <f t="shared" si="5"/>
        <v>0</v>
      </c>
      <c r="U168" t="b">
        <f t="shared" si="6"/>
        <v>0</v>
      </c>
    </row>
    <row r="169" spans="1:21" x14ac:dyDescent="0.3">
      <c r="A169" s="65" t="str">
        <f>IF(OR(SexePerso="Féminin",'Perso Reloaded'!$C$6="Féminin"),"Guerrière sainte/impie","Guerrier saint/impie")</f>
        <v>Guerrier saint/impie</v>
      </c>
      <c r="B169">
        <f>IF(AtoutsHandicapsMatos!$C$5=A169,1,0)</f>
        <v>0</v>
      </c>
      <c r="C169">
        <f>IF(AtoutsHandicapsMatos!$C$6=A169,1,0)</f>
        <v>0</v>
      </c>
      <c r="D169">
        <f>IF(AtoutsHandicapsMatos!$C$7=A169,1,0)</f>
        <v>0</v>
      </c>
      <c r="E169">
        <f>IF(AtoutsHandicapsMatos!$C$8=A169,1,0)</f>
        <v>0</v>
      </c>
      <c r="F169">
        <f>IF(AtoutsHandicapsMatos!$C$9=A169,1,0)</f>
        <v>0</v>
      </c>
      <c r="G169">
        <f>IF(AtoutsHandicapsMatos!$C$10=A169,1,0)</f>
        <v>0</v>
      </c>
      <c r="H169">
        <f>IF(AtoutsHandicapsMatos!$C$11=A169,1,0)</f>
        <v>0</v>
      </c>
      <c r="I169">
        <f>IF(AtoutsHandicapsMatos!$C$12=A169,1,0)</f>
        <v>0</v>
      </c>
      <c r="J169">
        <f>IF(AtoutsHandicapsMatos!$C$13=A169,1,0)</f>
        <v>0</v>
      </c>
      <c r="K169">
        <f>IF(AtoutsHandicapsMatos!$C$14=A169,1,0)</f>
        <v>0</v>
      </c>
      <c r="L169">
        <f>IF('Perso Reloaded'!$L$20=A169,1,0)</f>
        <v>0</v>
      </c>
      <c r="M169">
        <f>IF('Perso Reloaded'!$L$21=A169,1,0)</f>
        <v>0</v>
      </c>
      <c r="N169">
        <f>IF('Perso Reloaded'!$L$22=A169,1,0)</f>
        <v>0</v>
      </c>
      <c r="O169">
        <f>IF('Perso Reloaded'!$L$23=A169,1,0)</f>
        <v>0</v>
      </c>
      <c r="P169">
        <f>IF('Perso Reloaded'!$L$24=A169,1,0)</f>
        <v>0</v>
      </c>
      <c r="Q169">
        <f>IF('Perso Reloaded'!$L$25=A169,1,0)</f>
        <v>0</v>
      </c>
      <c r="R169">
        <f>IF('Perso Reloaded'!$L$26=A169,1,0)</f>
        <v>0</v>
      </c>
      <c r="S169">
        <f>IF('Perso Reloaded'!$L$27=A169,1,0)</f>
        <v>0</v>
      </c>
      <c r="T169">
        <f t="shared" si="5"/>
        <v>0</v>
      </c>
      <c r="U169" t="b">
        <f t="shared" si="6"/>
        <v>0</v>
      </c>
    </row>
    <row r="170" spans="1:21" x14ac:dyDescent="0.3">
      <c r="A170" s="65" t="str">
        <f>IF(OR(SexePerso="Féminin",'Perso Reloaded'!$C$6="Féminin"),"Guérisseuse","Guérisseur")</f>
        <v>Guérisseur</v>
      </c>
      <c r="B170">
        <f>IF(AtoutsHandicapsMatos!$C$5=A170,1,0)</f>
        <v>0</v>
      </c>
      <c r="C170">
        <f>IF(AtoutsHandicapsMatos!$C$6=A170,1,0)</f>
        <v>0</v>
      </c>
      <c r="D170">
        <f>IF(AtoutsHandicapsMatos!$C$7=A170,1,0)</f>
        <v>0</v>
      </c>
      <c r="E170">
        <f>IF(AtoutsHandicapsMatos!$C$8=A170,1,0)</f>
        <v>0</v>
      </c>
      <c r="F170">
        <f>IF(AtoutsHandicapsMatos!$C$9=A170,1,0)</f>
        <v>0</v>
      </c>
      <c r="G170">
        <f>IF(AtoutsHandicapsMatos!$C$10=A170,1,0)</f>
        <v>0</v>
      </c>
      <c r="H170">
        <f>IF(AtoutsHandicapsMatos!$C$11=A170,1,0)</f>
        <v>0</v>
      </c>
      <c r="I170">
        <f>IF(AtoutsHandicapsMatos!$C$12=A170,1,0)</f>
        <v>0</v>
      </c>
      <c r="J170">
        <f>IF(AtoutsHandicapsMatos!$C$13=A170,1,0)</f>
        <v>0</v>
      </c>
      <c r="K170">
        <f>IF(AtoutsHandicapsMatos!$C$14=A170,1,0)</f>
        <v>0</v>
      </c>
      <c r="L170">
        <f>IF('Perso Reloaded'!$L$20=A170,1,0)</f>
        <v>0</v>
      </c>
      <c r="M170">
        <f>IF('Perso Reloaded'!$L$21=A170,1,0)</f>
        <v>0</v>
      </c>
      <c r="N170">
        <f>IF('Perso Reloaded'!$L$22=A170,1,0)</f>
        <v>0</v>
      </c>
      <c r="O170">
        <f>IF('Perso Reloaded'!$L$23=A170,1,0)</f>
        <v>0</v>
      </c>
      <c r="P170">
        <f>IF('Perso Reloaded'!$L$24=A170,1,0)</f>
        <v>0</v>
      </c>
      <c r="Q170">
        <f>IF('Perso Reloaded'!$L$25=A170,1,0)</f>
        <v>0</v>
      </c>
      <c r="R170">
        <f>IF('Perso Reloaded'!$L$26=A170,1,0)</f>
        <v>0</v>
      </c>
      <c r="S170">
        <f>IF('Perso Reloaded'!$L$27=A170,1,0)</f>
        <v>0</v>
      </c>
      <c r="T170">
        <f t="shared" si="5"/>
        <v>0</v>
      </c>
      <c r="U170" t="b">
        <f t="shared" si="6"/>
        <v>0</v>
      </c>
    </row>
    <row r="171" spans="1:21" x14ac:dyDescent="0.3">
      <c r="A171" s="65" t="s">
        <v>3170</v>
      </c>
      <c r="B171">
        <f>IF(AtoutsHandicapsMatos!$C$5=A171,1,0)</f>
        <v>0</v>
      </c>
      <c r="C171">
        <f>IF(AtoutsHandicapsMatos!$C$6=A171,1,0)</f>
        <v>0</v>
      </c>
      <c r="D171">
        <f>IF(AtoutsHandicapsMatos!$C$7=A171,1,0)</f>
        <v>0</v>
      </c>
      <c r="E171">
        <f>IF(AtoutsHandicapsMatos!$C$8=A171,1,0)</f>
        <v>0</v>
      </c>
      <c r="F171">
        <f>IF(AtoutsHandicapsMatos!$C$9=A171,1,0)</f>
        <v>0</v>
      </c>
      <c r="G171">
        <f>IF(AtoutsHandicapsMatos!$C$10=A171,1,0)</f>
        <v>0</v>
      </c>
      <c r="H171">
        <f>IF(AtoutsHandicapsMatos!$C$11=A171,1,0)</f>
        <v>0</v>
      </c>
      <c r="I171">
        <f>IF(AtoutsHandicapsMatos!$C$12=A171,1,0)</f>
        <v>0</v>
      </c>
      <c r="J171">
        <f>IF(AtoutsHandicapsMatos!$C$13=A171,1,0)</f>
        <v>0</v>
      </c>
      <c r="K171">
        <f>IF(AtoutsHandicapsMatos!$C$14=A171,1,0)</f>
        <v>0</v>
      </c>
      <c r="L171">
        <f>IF('Perso Reloaded'!$L$20=A171,1,0)</f>
        <v>0</v>
      </c>
      <c r="M171">
        <f>IF('Perso Reloaded'!$L$21=A171,1,0)</f>
        <v>0</v>
      </c>
      <c r="N171">
        <f>IF('Perso Reloaded'!$L$22=A171,1,0)</f>
        <v>0</v>
      </c>
      <c r="O171">
        <f>IF('Perso Reloaded'!$L$23=A171,1,0)</f>
        <v>0</v>
      </c>
      <c r="P171">
        <f>IF('Perso Reloaded'!$L$24=A171,1,0)</f>
        <v>0</v>
      </c>
      <c r="Q171">
        <f>IF('Perso Reloaded'!$L$25=A171,1,0)</f>
        <v>0</v>
      </c>
      <c r="R171">
        <f>IF('Perso Reloaded'!$L$26=A171,1,0)</f>
        <v>0</v>
      </c>
      <c r="S171">
        <f>IF('Perso Reloaded'!$L$27=A171,1,0)</f>
        <v>0</v>
      </c>
      <c r="T171">
        <f t="shared" si="5"/>
        <v>0</v>
      </c>
      <c r="U171" t="b">
        <f t="shared" si="6"/>
        <v>0</v>
      </c>
    </row>
    <row r="172" spans="1:21" x14ac:dyDescent="0.3">
      <c r="A172" s="65" t="s">
        <v>5172</v>
      </c>
      <c r="B172">
        <f>IF(AtoutsHandicapsMatos!$C$5=A172,1,0)</f>
        <v>0</v>
      </c>
      <c r="C172">
        <f>IF(AtoutsHandicapsMatos!$C$6=A172,1,0)</f>
        <v>0</v>
      </c>
      <c r="D172">
        <f>IF(AtoutsHandicapsMatos!$C$7=A172,1,0)</f>
        <v>0</v>
      </c>
      <c r="E172">
        <f>IF(AtoutsHandicapsMatos!$C$8=A172,1,0)</f>
        <v>0</v>
      </c>
      <c r="F172">
        <f>IF(AtoutsHandicapsMatos!$C$9=A172,1,0)</f>
        <v>0</v>
      </c>
      <c r="G172">
        <f>IF(AtoutsHandicapsMatos!$C$10=A172,1,0)</f>
        <v>0</v>
      </c>
      <c r="H172">
        <f>IF(AtoutsHandicapsMatos!$C$11=A172,1,0)</f>
        <v>0</v>
      </c>
      <c r="I172">
        <f>IF(AtoutsHandicapsMatos!$C$12=A172,1,0)</f>
        <v>0</v>
      </c>
      <c r="J172">
        <f>IF(AtoutsHandicapsMatos!$C$13=A172,1,0)</f>
        <v>0</v>
      </c>
      <c r="K172">
        <f>IF(AtoutsHandicapsMatos!$C$14=A172,1,0)</f>
        <v>0</v>
      </c>
      <c r="L172">
        <f>IF('Perso Reloaded'!$L$20=A172,1,0)</f>
        <v>0</v>
      </c>
      <c r="M172">
        <f>IF('Perso Reloaded'!$L$21=A172,1,0)</f>
        <v>0</v>
      </c>
      <c r="N172">
        <f>IF('Perso Reloaded'!$L$22=A172,1,0)</f>
        <v>0</v>
      </c>
      <c r="O172">
        <f>IF('Perso Reloaded'!$L$23=A172,1,0)</f>
        <v>0</v>
      </c>
      <c r="P172">
        <f>IF('Perso Reloaded'!$L$24=A172,1,0)</f>
        <v>0</v>
      </c>
      <c r="Q172">
        <f>IF('Perso Reloaded'!$L$25=A172,1,0)</f>
        <v>0</v>
      </c>
      <c r="R172">
        <f>IF('Perso Reloaded'!$L$26=A172,1,0)</f>
        <v>0</v>
      </c>
      <c r="S172">
        <f>IF('Perso Reloaded'!$L$27=A172,1,0)</f>
        <v>0</v>
      </c>
      <c r="T172">
        <f t="shared" si="5"/>
        <v>0</v>
      </c>
      <c r="U172" t="b">
        <f t="shared" si="6"/>
        <v>0</v>
      </c>
    </row>
    <row r="173" spans="1:21" x14ac:dyDescent="0.3">
      <c r="A173" s="65" t="s">
        <v>1381</v>
      </c>
      <c r="B173">
        <f>IF(AtoutsHandicapsMatos!$C$5=A173,1,0)</f>
        <v>0</v>
      </c>
      <c r="C173">
        <f>IF(AtoutsHandicapsMatos!$C$6=A173,1,0)</f>
        <v>0</v>
      </c>
      <c r="D173">
        <f>IF(AtoutsHandicapsMatos!$C$7=A173,1,0)</f>
        <v>0</v>
      </c>
      <c r="E173">
        <f>IF(AtoutsHandicapsMatos!$C$8=A173,1,0)</f>
        <v>0</v>
      </c>
      <c r="F173">
        <f>IF(AtoutsHandicapsMatos!$C$9=A173,1,0)</f>
        <v>0</v>
      </c>
      <c r="G173">
        <f>IF(AtoutsHandicapsMatos!$C$10=A173,1,0)</f>
        <v>0</v>
      </c>
      <c r="H173">
        <f>IF(AtoutsHandicapsMatos!$C$11=A173,1,0)</f>
        <v>0</v>
      </c>
      <c r="I173">
        <f>IF(AtoutsHandicapsMatos!$C$12=A173,1,0)</f>
        <v>0</v>
      </c>
      <c r="J173">
        <f>IF(AtoutsHandicapsMatos!$C$13=A173,1,0)</f>
        <v>0</v>
      </c>
      <c r="K173">
        <f>IF(AtoutsHandicapsMatos!$C$14=A173,1,0)</f>
        <v>0</v>
      </c>
      <c r="L173">
        <f>IF('Perso Reloaded'!$L$20=A173,1,0)</f>
        <v>0</v>
      </c>
      <c r="M173">
        <f>IF('Perso Reloaded'!$L$21=A173,1,0)</f>
        <v>0</v>
      </c>
      <c r="N173">
        <f>IF('Perso Reloaded'!$L$22=A173,1,0)</f>
        <v>0</v>
      </c>
      <c r="O173">
        <f>IF('Perso Reloaded'!$L$23=A173,1,0)</f>
        <v>0</v>
      </c>
      <c r="P173">
        <f>IF('Perso Reloaded'!$L$24=A173,1,0)</f>
        <v>0</v>
      </c>
      <c r="Q173">
        <f>IF('Perso Reloaded'!$L$25=A173,1,0)</f>
        <v>0</v>
      </c>
      <c r="R173">
        <f>IF('Perso Reloaded'!$L$26=A173,1,0)</f>
        <v>0</v>
      </c>
      <c r="S173">
        <f>IF('Perso Reloaded'!$L$27=A173,1,0)</f>
        <v>0</v>
      </c>
      <c r="T173">
        <f t="shared" si="5"/>
        <v>0</v>
      </c>
      <c r="U173" t="b">
        <f t="shared" si="6"/>
        <v>0</v>
      </c>
    </row>
    <row r="174" spans="1:21" x14ac:dyDescent="0.3">
      <c r="A174" s="65" t="str">
        <f>IF(SexePerso="Féminin","Femme de loi (Adjointe/Députée)",IF('Perso Reloaded'!$C$6="Féminin","Femme de loi (Adjointe/Députée)","Homme de loi (Adjoint/Député)"))</f>
        <v>Homme de loi (Adjoint/Député)</v>
      </c>
      <c r="B174">
        <f>IF(AtoutsHandicapsMatos!$C$5=A174,1,0)</f>
        <v>0</v>
      </c>
      <c r="C174">
        <f>IF(AtoutsHandicapsMatos!$C$6=A174,1,0)</f>
        <v>0</v>
      </c>
      <c r="D174">
        <f>IF(AtoutsHandicapsMatos!$C$7=A174,1,0)</f>
        <v>0</v>
      </c>
      <c r="E174">
        <f>IF(AtoutsHandicapsMatos!$C$8=A174,1,0)</f>
        <v>0</v>
      </c>
      <c r="F174">
        <f>IF(AtoutsHandicapsMatos!$C$9=A174,1,0)</f>
        <v>0</v>
      </c>
      <c r="G174">
        <f>IF(AtoutsHandicapsMatos!$C$10=A174,1,0)</f>
        <v>0</v>
      </c>
      <c r="H174">
        <f>IF(AtoutsHandicapsMatos!$C$11=A174,1,0)</f>
        <v>0</v>
      </c>
      <c r="I174">
        <f>IF(AtoutsHandicapsMatos!$C$12=A174,1,0)</f>
        <v>0</v>
      </c>
      <c r="J174">
        <f>IF(AtoutsHandicapsMatos!$C$13=A174,1,0)</f>
        <v>0</v>
      </c>
      <c r="K174">
        <f>IF(AtoutsHandicapsMatos!$C$14=A174,1,0)</f>
        <v>0</v>
      </c>
      <c r="L174">
        <f>IF('Perso Reloaded'!$L$20=A174,1,0)</f>
        <v>0</v>
      </c>
      <c r="M174">
        <f>IF('Perso Reloaded'!$L$21=A174,1,0)</f>
        <v>0</v>
      </c>
      <c r="N174">
        <f>IF('Perso Reloaded'!$L$22=A174,1,0)</f>
        <v>0</v>
      </c>
      <c r="O174">
        <f>IF('Perso Reloaded'!$L$23=A174,1,0)</f>
        <v>0</v>
      </c>
      <c r="P174">
        <f>IF('Perso Reloaded'!$L$24=A174,1,0)</f>
        <v>0</v>
      </c>
      <c r="Q174">
        <f>IF('Perso Reloaded'!$L$25=A174,1,0)</f>
        <v>0</v>
      </c>
      <c r="R174">
        <f>IF('Perso Reloaded'!$L$26=A174,1,0)</f>
        <v>0</v>
      </c>
      <c r="S174">
        <f>IF('Perso Reloaded'!$L$27=A174,1,0)</f>
        <v>0</v>
      </c>
      <c r="T174">
        <f t="shared" si="5"/>
        <v>0</v>
      </c>
      <c r="U174" t="b">
        <f t="shared" si="6"/>
        <v>0</v>
      </c>
    </row>
    <row r="175" spans="1:21" x14ac:dyDescent="0.3">
      <c r="A175" s="65" t="str">
        <f>IF(SexePerso="Féminin","Femme de loi (Shérif)",IF('Perso Reloaded'!$C$6="Féminin","Femme de loi (Shérif)","Homme de loi (Shérif)"))</f>
        <v>Homme de loi (Shérif)</v>
      </c>
      <c r="B175">
        <f>IF(AtoutsHandicapsMatos!$C$5=A175,1,0)</f>
        <v>0</v>
      </c>
      <c r="C175">
        <f>IF(AtoutsHandicapsMatos!$C$6=A175,1,0)</f>
        <v>0</v>
      </c>
      <c r="D175">
        <f>IF(AtoutsHandicapsMatos!$C$7=A175,1,0)</f>
        <v>0</v>
      </c>
      <c r="E175">
        <f>IF(AtoutsHandicapsMatos!$C$8=A175,1,0)</f>
        <v>0</v>
      </c>
      <c r="F175">
        <f>IF(AtoutsHandicapsMatos!$C$9=A175,1,0)</f>
        <v>0</v>
      </c>
      <c r="G175">
        <f>IF(AtoutsHandicapsMatos!$C$10=A175,1,0)</f>
        <v>0</v>
      </c>
      <c r="H175">
        <f>IF(AtoutsHandicapsMatos!$C$11=A175,1,0)</f>
        <v>0</v>
      </c>
      <c r="I175">
        <f>IF(AtoutsHandicapsMatos!$C$12=A175,1,0)</f>
        <v>0</v>
      </c>
      <c r="J175">
        <f>IF(AtoutsHandicapsMatos!$C$13=A175,1,0)</f>
        <v>0</v>
      </c>
      <c r="K175">
        <f>IF(AtoutsHandicapsMatos!$C$14=A175,1,0)</f>
        <v>0</v>
      </c>
      <c r="L175">
        <f>IF('Perso Reloaded'!$L$20=A175,1,0)</f>
        <v>0</v>
      </c>
      <c r="M175">
        <f>IF('Perso Reloaded'!$L$21=A175,1,0)</f>
        <v>0</v>
      </c>
      <c r="N175">
        <f>IF('Perso Reloaded'!$L$22=A175,1,0)</f>
        <v>0</v>
      </c>
      <c r="O175">
        <f>IF('Perso Reloaded'!$L$23=A175,1,0)</f>
        <v>0</v>
      </c>
      <c r="P175">
        <f>IF('Perso Reloaded'!$L$24=A175,1,0)</f>
        <v>0</v>
      </c>
      <c r="Q175">
        <f>IF('Perso Reloaded'!$L$25=A175,1,0)</f>
        <v>0</v>
      </c>
      <c r="R175">
        <f>IF('Perso Reloaded'!$L$26=A175,1,0)</f>
        <v>0</v>
      </c>
      <c r="S175">
        <f>IF('Perso Reloaded'!$L$27=A175,1,0)</f>
        <v>0</v>
      </c>
      <c r="T175">
        <f t="shared" si="5"/>
        <v>0</v>
      </c>
      <c r="U175" t="b">
        <f t="shared" si="6"/>
        <v>0</v>
      </c>
    </row>
    <row r="176" spans="1:21" x14ac:dyDescent="0.3">
      <c r="A176" s="65" t="str">
        <f>IF(SexePerso="Féminin","Femme de loi (US Marshal/Agent Pinkerton/Texas Ranger)",IF('Perso Reloaded'!$C$6="Féminin","Femme de loi (US Marshal/Agent Pinkerton/Texas Ranger)","Homme de loi (US Marshal/Agent Pinkerton/Texas Ranger)"))</f>
        <v>Homme de loi (US Marshal/Agent Pinkerton/Texas Ranger)</v>
      </c>
      <c r="B176">
        <f>IF(AtoutsHandicapsMatos!$C$5=A176,1,0)</f>
        <v>0</v>
      </c>
      <c r="C176">
        <f>IF(AtoutsHandicapsMatos!$C$6=A176,1,0)</f>
        <v>0</v>
      </c>
      <c r="D176">
        <f>IF(AtoutsHandicapsMatos!$C$7=A176,1,0)</f>
        <v>0</v>
      </c>
      <c r="E176">
        <f>IF(AtoutsHandicapsMatos!$C$8=A176,1,0)</f>
        <v>0</v>
      </c>
      <c r="F176">
        <f>IF(AtoutsHandicapsMatos!$C$9=A176,1,0)</f>
        <v>0</v>
      </c>
      <c r="G176">
        <f>IF(AtoutsHandicapsMatos!$C$10=A176,1,0)</f>
        <v>0</v>
      </c>
      <c r="H176">
        <f>IF(AtoutsHandicapsMatos!$C$11=A176,1,0)</f>
        <v>0</v>
      </c>
      <c r="I176">
        <f>IF(AtoutsHandicapsMatos!$C$12=A176,1,0)</f>
        <v>0</v>
      </c>
      <c r="J176">
        <f>IF(AtoutsHandicapsMatos!$C$13=A176,1,0)</f>
        <v>0</v>
      </c>
      <c r="K176">
        <f>IF(AtoutsHandicapsMatos!$C$14=A176,1,0)</f>
        <v>0</v>
      </c>
      <c r="L176">
        <f>IF('Perso Reloaded'!$L$20=A176,1,0)</f>
        <v>0</v>
      </c>
      <c r="M176">
        <f>IF('Perso Reloaded'!$L$21=A176,1,0)</f>
        <v>0</v>
      </c>
      <c r="N176">
        <f>IF('Perso Reloaded'!$L$22=A176,1,0)</f>
        <v>0</v>
      </c>
      <c r="O176">
        <f>IF('Perso Reloaded'!$L$23=A176,1,0)</f>
        <v>0</v>
      </c>
      <c r="P176">
        <f>IF('Perso Reloaded'!$L$24=A176,1,0)</f>
        <v>0</v>
      </c>
      <c r="Q176">
        <f>IF('Perso Reloaded'!$L$25=A176,1,0)</f>
        <v>0</v>
      </c>
      <c r="R176">
        <f>IF('Perso Reloaded'!$L$26=A176,1,0)</f>
        <v>0</v>
      </c>
      <c r="S176">
        <f>IF('Perso Reloaded'!$L$27=A176,1,0)</f>
        <v>0</v>
      </c>
      <c r="T176">
        <f t="shared" si="5"/>
        <v>0</v>
      </c>
      <c r="U176" t="b">
        <f t="shared" si="6"/>
        <v>0</v>
      </c>
    </row>
    <row r="177" spans="1:21" x14ac:dyDescent="0.3">
      <c r="A177" s="65" t="str">
        <f>IF(SexePerso="Féminin","Femme des étendues sauvages",IF('Perso Reloaded'!$C$6="Féminin","Femme des étendues sauvages","Homme des étendues sauvages"))</f>
        <v>Homme des étendues sauvages</v>
      </c>
      <c r="B177">
        <f>IF(AtoutsHandicapsMatos!$C$5=A177,1,0)</f>
        <v>0</v>
      </c>
      <c r="C177">
        <f>IF(AtoutsHandicapsMatos!$C$6=A177,1,0)</f>
        <v>0</v>
      </c>
      <c r="D177">
        <f>IF(AtoutsHandicapsMatos!$C$7=A177,1,0)</f>
        <v>0</v>
      </c>
      <c r="E177">
        <f>IF(AtoutsHandicapsMatos!$C$8=A177,1,0)</f>
        <v>0</v>
      </c>
      <c r="F177">
        <f>IF(AtoutsHandicapsMatos!$C$9=A177,1,0)</f>
        <v>0</v>
      </c>
      <c r="G177">
        <f>IF(AtoutsHandicapsMatos!$C$10=A177,1,0)</f>
        <v>0</v>
      </c>
      <c r="H177">
        <f>IF(AtoutsHandicapsMatos!$C$11=A177,1,0)</f>
        <v>0</v>
      </c>
      <c r="I177">
        <f>IF(AtoutsHandicapsMatos!$C$12=A177,1,0)</f>
        <v>0</v>
      </c>
      <c r="J177">
        <f>IF(AtoutsHandicapsMatos!$C$13=A177,1,0)</f>
        <v>0</v>
      </c>
      <c r="K177">
        <f>IF(AtoutsHandicapsMatos!$C$14=A177,1,0)</f>
        <v>0</v>
      </c>
      <c r="L177">
        <f>IF('Perso Reloaded'!$L$20=A177,1,0)</f>
        <v>0</v>
      </c>
      <c r="M177">
        <f>IF('Perso Reloaded'!$L$21=A177,1,0)</f>
        <v>0</v>
      </c>
      <c r="N177">
        <f>IF('Perso Reloaded'!$L$22=A177,1,0)</f>
        <v>0</v>
      </c>
      <c r="O177">
        <f>IF('Perso Reloaded'!$L$23=A177,1,0)</f>
        <v>0</v>
      </c>
      <c r="P177">
        <f>IF('Perso Reloaded'!$L$24=A177,1,0)</f>
        <v>0</v>
      </c>
      <c r="Q177">
        <f>IF('Perso Reloaded'!$L$25=A177,1,0)</f>
        <v>0</v>
      </c>
      <c r="R177">
        <f>IF('Perso Reloaded'!$L$26=A177,1,0)</f>
        <v>0</v>
      </c>
      <c r="S177">
        <f>IF('Perso Reloaded'!$L$27=A177,1,0)</f>
        <v>0</v>
      </c>
      <c r="T177">
        <f t="shared" si="5"/>
        <v>0</v>
      </c>
      <c r="U177" t="b">
        <f t="shared" si="6"/>
        <v>0</v>
      </c>
    </row>
    <row r="178" spans="1:21" x14ac:dyDescent="0.3">
      <c r="A178" s="65" t="s">
        <v>4801</v>
      </c>
      <c r="B178">
        <f>IF(AtoutsHandicapsMatos!$C$5=A178,1,0)</f>
        <v>0</v>
      </c>
      <c r="C178">
        <f>IF(AtoutsHandicapsMatos!$C$6=A178,1,0)</f>
        <v>0</v>
      </c>
      <c r="D178">
        <f>IF(AtoutsHandicapsMatos!$C$7=A178,1,0)</f>
        <v>0</v>
      </c>
      <c r="E178">
        <f>IF(AtoutsHandicapsMatos!$C$8=A178,1,0)</f>
        <v>0</v>
      </c>
      <c r="F178">
        <f>IF(AtoutsHandicapsMatos!$C$9=A178,1,0)</f>
        <v>0</v>
      </c>
      <c r="G178">
        <f>IF(AtoutsHandicapsMatos!$C$10=A178,1,0)</f>
        <v>0</v>
      </c>
      <c r="H178">
        <f>IF(AtoutsHandicapsMatos!$C$11=A178,1,0)</f>
        <v>0</v>
      </c>
      <c r="I178">
        <f>IF(AtoutsHandicapsMatos!$C$12=A178,1,0)</f>
        <v>0</v>
      </c>
      <c r="J178">
        <f>IF(AtoutsHandicapsMatos!$C$13=A178,1,0)</f>
        <v>0</v>
      </c>
      <c r="K178">
        <f>IF(AtoutsHandicapsMatos!$C$14=A178,1,0)</f>
        <v>0</v>
      </c>
      <c r="L178">
        <f>IF('Perso Reloaded'!$L$20=A178,1,0)</f>
        <v>0</v>
      </c>
      <c r="M178">
        <f>IF('Perso Reloaded'!$L$21=A178,1,0)</f>
        <v>0</v>
      </c>
      <c r="N178">
        <f>IF('Perso Reloaded'!$L$22=A178,1,0)</f>
        <v>0</v>
      </c>
      <c r="O178">
        <f>IF('Perso Reloaded'!$L$23=A178,1,0)</f>
        <v>0</v>
      </c>
      <c r="P178">
        <f>IF('Perso Reloaded'!$L$24=A178,1,0)</f>
        <v>0</v>
      </c>
      <c r="Q178">
        <f>IF('Perso Reloaded'!$L$25=A178,1,0)</f>
        <v>0</v>
      </c>
      <c r="R178">
        <f>IF('Perso Reloaded'!$L$26=A178,1,0)</f>
        <v>0</v>
      </c>
      <c r="S178">
        <f>IF('Perso Reloaded'!$L$27=A178,1,0)</f>
        <v>0</v>
      </c>
      <c r="T178">
        <f t="shared" si="5"/>
        <v>0</v>
      </c>
      <c r="U178" t="b">
        <f t="shared" si="6"/>
        <v>0</v>
      </c>
    </row>
    <row r="179" spans="1:21" x14ac:dyDescent="0.3">
      <c r="A179" s="65" t="s">
        <v>3635</v>
      </c>
      <c r="B179">
        <f>IF(AtoutsHandicapsMatos!$C$5=A179,1,0)</f>
        <v>0</v>
      </c>
      <c r="C179">
        <f>IF(AtoutsHandicapsMatos!$C$6=A179,1,0)</f>
        <v>0</v>
      </c>
      <c r="D179">
        <f>IF(AtoutsHandicapsMatos!$C$7=A179,1,0)</f>
        <v>0</v>
      </c>
      <c r="E179">
        <f>IF(AtoutsHandicapsMatos!$C$8=A179,1,0)</f>
        <v>0</v>
      </c>
      <c r="F179">
        <f>IF(AtoutsHandicapsMatos!$C$9=A179,1,0)</f>
        <v>0</v>
      </c>
      <c r="G179">
        <f>IF(AtoutsHandicapsMatos!$C$10=A179,1,0)</f>
        <v>0</v>
      </c>
      <c r="H179">
        <f>IF(AtoutsHandicapsMatos!$C$11=A179,1,0)</f>
        <v>0</v>
      </c>
      <c r="I179">
        <f>IF(AtoutsHandicapsMatos!$C$12=A179,1,0)</f>
        <v>0</v>
      </c>
      <c r="J179">
        <f>IF(AtoutsHandicapsMatos!$C$13=A179,1,0)</f>
        <v>0</v>
      </c>
      <c r="K179">
        <f>IF(AtoutsHandicapsMatos!$C$14=A179,1,0)</f>
        <v>0</v>
      </c>
      <c r="L179">
        <f>IF('Perso Reloaded'!$L$20=A179,1,0)</f>
        <v>0</v>
      </c>
      <c r="M179">
        <f>IF('Perso Reloaded'!$L$21=A179,1,0)</f>
        <v>0</v>
      </c>
      <c r="N179">
        <f>IF('Perso Reloaded'!$L$22=A179,1,0)</f>
        <v>0</v>
      </c>
      <c r="O179">
        <f>IF('Perso Reloaded'!$L$23=A179,1,0)</f>
        <v>0</v>
      </c>
      <c r="P179">
        <f>IF('Perso Reloaded'!$L$24=A179,1,0)</f>
        <v>0</v>
      </c>
      <c r="Q179">
        <f>IF('Perso Reloaded'!$L$25=A179,1,0)</f>
        <v>0</v>
      </c>
      <c r="R179">
        <f>IF('Perso Reloaded'!$L$26=A179,1,0)</f>
        <v>0</v>
      </c>
      <c r="S179">
        <f>IF('Perso Reloaded'!$L$27=A179,1,0)</f>
        <v>0</v>
      </c>
      <c r="T179">
        <f t="shared" si="5"/>
        <v>0</v>
      </c>
      <c r="U179" t="b">
        <f t="shared" si="6"/>
        <v>0</v>
      </c>
    </row>
    <row r="180" spans="1:21" x14ac:dyDescent="0.3">
      <c r="A180" s="65" t="s">
        <v>5249</v>
      </c>
      <c r="B180">
        <f>IF(AtoutsHandicapsMatos!$C$5=A180,1,0)</f>
        <v>0</v>
      </c>
      <c r="C180">
        <f>IF(AtoutsHandicapsMatos!$C$6=A180,1,0)</f>
        <v>0</v>
      </c>
      <c r="D180">
        <f>IF(AtoutsHandicapsMatos!$C$7=A180,1,0)</f>
        <v>0</v>
      </c>
      <c r="E180">
        <f>IF(AtoutsHandicapsMatos!$C$8=A180,1,0)</f>
        <v>0</v>
      </c>
      <c r="F180">
        <f>IF(AtoutsHandicapsMatos!$C$9=A180,1,0)</f>
        <v>0</v>
      </c>
      <c r="G180">
        <f>IF(AtoutsHandicapsMatos!$C$10=A180,1,0)</f>
        <v>0</v>
      </c>
      <c r="H180">
        <f>IF(AtoutsHandicapsMatos!$C$11=A180,1,0)</f>
        <v>0</v>
      </c>
      <c r="I180">
        <f>IF(AtoutsHandicapsMatos!$C$12=A180,1,0)</f>
        <v>0</v>
      </c>
      <c r="J180">
        <f>IF(AtoutsHandicapsMatos!$C$13=A180,1,0)</f>
        <v>0</v>
      </c>
      <c r="K180">
        <f>IF(AtoutsHandicapsMatos!$C$14=A180,1,0)</f>
        <v>0</v>
      </c>
      <c r="L180">
        <f>IF('Perso Reloaded'!$L$20=A180,1,0)</f>
        <v>0</v>
      </c>
      <c r="M180">
        <f>IF('Perso Reloaded'!$L$21=A180,1,0)</f>
        <v>0</v>
      </c>
      <c r="N180">
        <f>IF('Perso Reloaded'!$L$22=A180,1,0)</f>
        <v>0</v>
      </c>
      <c r="O180">
        <f>IF('Perso Reloaded'!$L$23=A180,1,0)</f>
        <v>0</v>
      </c>
      <c r="P180">
        <f>IF('Perso Reloaded'!$L$24=A180,1,0)</f>
        <v>0</v>
      </c>
      <c r="Q180">
        <f>IF('Perso Reloaded'!$L$25=A180,1,0)</f>
        <v>0</v>
      </c>
      <c r="R180">
        <f>IF('Perso Reloaded'!$L$26=A180,1,0)</f>
        <v>0</v>
      </c>
      <c r="S180">
        <f>IF('Perso Reloaded'!$L$27=A180,1,0)</f>
        <v>0</v>
      </c>
      <c r="T180">
        <f t="shared" ref="T180" si="8">SUM(B180:S180)</f>
        <v>0</v>
      </c>
      <c r="U180" t="b">
        <f t="shared" si="6"/>
        <v>0</v>
      </c>
    </row>
    <row r="181" spans="1:21" x14ac:dyDescent="0.3">
      <c r="A181" s="65" t="s">
        <v>5173</v>
      </c>
      <c r="B181">
        <f>IF(AtoutsHandicapsMatos!$C$5=A181,1,0)</f>
        <v>0</v>
      </c>
      <c r="C181">
        <f>IF(AtoutsHandicapsMatos!$C$6=A181,1,0)</f>
        <v>0</v>
      </c>
      <c r="D181">
        <f>IF(AtoutsHandicapsMatos!$C$7=A181,1,0)</f>
        <v>0</v>
      </c>
      <c r="E181">
        <f>IF(AtoutsHandicapsMatos!$C$8=A181,1,0)</f>
        <v>0</v>
      </c>
      <c r="F181">
        <f>IF(AtoutsHandicapsMatos!$C$9=A181,1,0)</f>
        <v>0</v>
      </c>
      <c r="G181">
        <f>IF(AtoutsHandicapsMatos!$C$10=A181,1,0)</f>
        <v>0</v>
      </c>
      <c r="H181">
        <f>IF(AtoutsHandicapsMatos!$C$11=A181,1,0)</f>
        <v>0</v>
      </c>
      <c r="I181">
        <f>IF(AtoutsHandicapsMatos!$C$12=A181,1,0)</f>
        <v>0</v>
      </c>
      <c r="J181">
        <f>IF(AtoutsHandicapsMatos!$C$13=A181,1,0)</f>
        <v>0</v>
      </c>
      <c r="K181">
        <f>IF(AtoutsHandicapsMatos!$C$14=A181,1,0)</f>
        <v>0</v>
      </c>
      <c r="L181">
        <f>IF('Perso Reloaded'!$L$20=A181,1,0)</f>
        <v>0</v>
      </c>
      <c r="M181">
        <f>IF('Perso Reloaded'!$L$21=A181,1,0)</f>
        <v>0</v>
      </c>
      <c r="N181">
        <f>IF('Perso Reloaded'!$L$22=A181,1,0)</f>
        <v>0</v>
      </c>
      <c r="O181">
        <f>IF('Perso Reloaded'!$L$23=A181,1,0)</f>
        <v>0</v>
      </c>
      <c r="P181">
        <f>IF('Perso Reloaded'!$L$24=A181,1,0)</f>
        <v>0</v>
      </c>
      <c r="Q181">
        <f>IF('Perso Reloaded'!$L$25=A181,1,0)</f>
        <v>0</v>
      </c>
      <c r="R181">
        <f>IF('Perso Reloaded'!$L$26=A181,1,0)</f>
        <v>0</v>
      </c>
      <c r="S181">
        <f>IF('Perso Reloaded'!$L$27=A181,1,0)</f>
        <v>0</v>
      </c>
      <c r="T181">
        <f t="shared" si="5"/>
        <v>0</v>
      </c>
      <c r="U181" t="b">
        <f t="shared" si="6"/>
        <v>0</v>
      </c>
    </row>
    <row r="182" spans="1:21" x14ac:dyDescent="0.3">
      <c r="A182" s="65" t="s">
        <v>3276</v>
      </c>
      <c r="B182">
        <f>IF(AtoutsHandicapsMatos!$C$5=A182,1,0)</f>
        <v>0</v>
      </c>
      <c r="C182">
        <f>IF(AtoutsHandicapsMatos!$C$6=A182,1,0)</f>
        <v>0</v>
      </c>
      <c r="D182">
        <f>IF(AtoutsHandicapsMatos!$C$7=A182,1,0)</f>
        <v>0</v>
      </c>
      <c r="E182">
        <f>IF(AtoutsHandicapsMatos!$C$8=A182,1,0)</f>
        <v>0</v>
      </c>
      <c r="F182">
        <f>IF(AtoutsHandicapsMatos!$C$9=A182,1,0)</f>
        <v>0</v>
      </c>
      <c r="G182">
        <f>IF(AtoutsHandicapsMatos!$C$10=A182,1,0)</f>
        <v>0</v>
      </c>
      <c r="H182">
        <f>IF(AtoutsHandicapsMatos!$C$11=A182,1,0)</f>
        <v>0</v>
      </c>
      <c r="I182">
        <f>IF(AtoutsHandicapsMatos!$C$12=A182,1,0)</f>
        <v>0</v>
      </c>
      <c r="J182">
        <f>IF(AtoutsHandicapsMatos!$C$13=A182,1,0)</f>
        <v>0</v>
      </c>
      <c r="K182">
        <f>IF(AtoutsHandicapsMatos!$C$14=A182,1,0)</f>
        <v>0</v>
      </c>
      <c r="L182">
        <f>IF('Perso Reloaded'!$L$20=A182,1,0)</f>
        <v>0</v>
      </c>
      <c r="M182">
        <f>IF('Perso Reloaded'!$L$21=A182,1,0)</f>
        <v>0</v>
      </c>
      <c r="N182">
        <f>IF('Perso Reloaded'!$L$22=A182,1,0)</f>
        <v>0</v>
      </c>
      <c r="O182">
        <f>IF('Perso Reloaded'!$L$23=A182,1,0)</f>
        <v>0</v>
      </c>
      <c r="P182">
        <f>IF('Perso Reloaded'!$L$24=A182,1,0)</f>
        <v>0</v>
      </c>
      <c r="Q182">
        <f>IF('Perso Reloaded'!$L$25=A182,1,0)</f>
        <v>0</v>
      </c>
      <c r="R182">
        <f>IF('Perso Reloaded'!$L$26=A182,1,0)</f>
        <v>0</v>
      </c>
      <c r="S182">
        <f>IF('Perso Reloaded'!$L$27=A182,1,0)</f>
        <v>0</v>
      </c>
      <c r="T182">
        <f t="shared" si="5"/>
        <v>0</v>
      </c>
      <c r="U182" t="b">
        <f t="shared" si="6"/>
        <v>0</v>
      </c>
    </row>
    <row r="183" spans="1:21" x14ac:dyDescent="0.3">
      <c r="A183" s="65" t="s">
        <v>3562</v>
      </c>
      <c r="B183">
        <f>IF(AtoutsHandicapsMatos!$C$5=A183,1,0)</f>
        <v>0</v>
      </c>
      <c r="C183">
        <f>IF(AtoutsHandicapsMatos!$C$6=A183,1,0)</f>
        <v>0</v>
      </c>
      <c r="D183">
        <f>IF(AtoutsHandicapsMatos!$C$7=A183,1,0)</f>
        <v>0</v>
      </c>
      <c r="E183">
        <f>IF(AtoutsHandicapsMatos!$C$8=A183,1,0)</f>
        <v>0</v>
      </c>
      <c r="F183">
        <f>IF(AtoutsHandicapsMatos!$C$9=A183,1,0)</f>
        <v>0</v>
      </c>
      <c r="G183">
        <f>IF(AtoutsHandicapsMatos!$C$10=A183,1,0)</f>
        <v>0</v>
      </c>
      <c r="H183">
        <f>IF(AtoutsHandicapsMatos!$C$11=A183,1,0)</f>
        <v>0</v>
      </c>
      <c r="I183">
        <f>IF(AtoutsHandicapsMatos!$C$12=A183,1,0)</f>
        <v>0</v>
      </c>
      <c r="J183">
        <f>IF(AtoutsHandicapsMatos!$C$13=A183,1,0)</f>
        <v>0</v>
      </c>
      <c r="K183">
        <f>IF(AtoutsHandicapsMatos!$C$14=A183,1,0)</f>
        <v>0</v>
      </c>
      <c r="L183">
        <f>IF('Perso Reloaded'!$L$20=A183,1,0)</f>
        <v>0</v>
      </c>
      <c r="M183">
        <f>IF('Perso Reloaded'!$L$21=A183,1,0)</f>
        <v>0</v>
      </c>
      <c r="N183">
        <f>IF('Perso Reloaded'!$L$22=A183,1,0)</f>
        <v>0</v>
      </c>
      <c r="O183">
        <f>IF('Perso Reloaded'!$L$23=A183,1,0)</f>
        <v>0</v>
      </c>
      <c r="P183">
        <f>IF('Perso Reloaded'!$L$24=A183,1,0)</f>
        <v>0</v>
      </c>
      <c r="Q183">
        <f>IF('Perso Reloaded'!$L$25=A183,1,0)</f>
        <v>0</v>
      </c>
      <c r="R183">
        <f>IF('Perso Reloaded'!$L$26=A183,1,0)</f>
        <v>0</v>
      </c>
      <c r="S183">
        <f>IF('Perso Reloaded'!$L$27=A183,1,0)</f>
        <v>0</v>
      </c>
      <c r="T183">
        <f t="shared" si="5"/>
        <v>0</v>
      </c>
      <c r="U183" t="b">
        <f t="shared" si="6"/>
        <v>0</v>
      </c>
    </row>
    <row r="184" spans="1:21" x14ac:dyDescent="0.3">
      <c r="A184" s="65" t="s">
        <v>1382</v>
      </c>
      <c r="B184">
        <f>IF(AtoutsHandicapsMatos!$C$5=A184,1,0)</f>
        <v>0</v>
      </c>
      <c r="C184">
        <f>IF(AtoutsHandicapsMatos!$C$6=A184,1,0)</f>
        <v>0</v>
      </c>
      <c r="D184">
        <f>IF(AtoutsHandicapsMatos!$C$7=A184,1,0)</f>
        <v>0</v>
      </c>
      <c r="E184">
        <f>IF(AtoutsHandicapsMatos!$C$8=A184,1,0)</f>
        <v>0</v>
      </c>
      <c r="F184">
        <f>IF(AtoutsHandicapsMatos!$C$9=A184,1,0)</f>
        <v>0</v>
      </c>
      <c r="G184">
        <f>IF(AtoutsHandicapsMatos!$C$10=A184,1,0)</f>
        <v>0</v>
      </c>
      <c r="H184">
        <f>IF(AtoutsHandicapsMatos!$C$11=A184,1,0)</f>
        <v>0</v>
      </c>
      <c r="I184">
        <f>IF(AtoutsHandicapsMatos!$C$12=A184,1,0)</f>
        <v>0</v>
      </c>
      <c r="J184">
        <f>IF(AtoutsHandicapsMatos!$C$13=A184,1,0)</f>
        <v>0</v>
      </c>
      <c r="K184">
        <f>IF(AtoutsHandicapsMatos!$C$14=A184,1,0)</f>
        <v>0</v>
      </c>
      <c r="L184">
        <f>IF('Perso Reloaded'!$L$20=A184,1,0)</f>
        <v>0</v>
      </c>
      <c r="M184">
        <f>IF('Perso Reloaded'!$L$21=A184,1,0)</f>
        <v>0</v>
      </c>
      <c r="N184">
        <f>IF('Perso Reloaded'!$L$22=A184,1,0)</f>
        <v>0</v>
      </c>
      <c r="O184">
        <f>IF('Perso Reloaded'!$L$23=A184,1,0)</f>
        <v>0</v>
      </c>
      <c r="P184">
        <f>IF('Perso Reloaded'!$L$24=A184,1,0)</f>
        <v>0</v>
      </c>
      <c r="Q184">
        <f>IF('Perso Reloaded'!$L$25=A184,1,0)</f>
        <v>0</v>
      </c>
      <c r="R184">
        <f>IF('Perso Reloaded'!$L$26=A184,1,0)</f>
        <v>0</v>
      </c>
      <c r="S184">
        <f>IF('Perso Reloaded'!$L$27=A184,1,0)</f>
        <v>0</v>
      </c>
      <c r="T184">
        <f t="shared" si="5"/>
        <v>0</v>
      </c>
      <c r="U184" t="b">
        <f t="shared" si="6"/>
        <v>0</v>
      </c>
    </row>
    <row r="185" spans="1:21" ht="15.75" customHeight="1" x14ac:dyDescent="0.3">
      <c r="A185" s="67" t="s">
        <v>1772</v>
      </c>
      <c r="B185">
        <f>IF(AtoutsHandicapsMatos!$C$5=A185,1,0)</f>
        <v>0</v>
      </c>
      <c r="C185">
        <f>IF(AtoutsHandicapsMatos!$C$6=A185,1,0)</f>
        <v>0</v>
      </c>
      <c r="D185">
        <f>IF(AtoutsHandicapsMatos!$C$7=A185,1,0)</f>
        <v>0</v>
      </c>
      <c r="E185">
        <f>IF(AtoutsHandicapsMatos!$C$8=A185,1,0)</f>
        <v>0</v>
      </c>
      <c r="F185">
        <f>IF(AtoutsHandicapsMatos!$C$9=A185,1,0)</f>
        <v>0</v>
      </c>
      <c r="G185">
        <f>IF(AtoutsHandicapsMatos!$C$10=A185,1,0)</f>
        <v>0</v>
      </c>
      <c r="H185">
        <f>IF(AtoutsHandicapsMatos!$C$11=A185,1,0)</f>
        <v>0</v>
      </c>
      <c r="I185">
        <f>IF(AtoutsHandicapsMatos!$C$12=A185,1,0)</f>
        <v>0</v>
      </c>
      <c r="J185">
        <f>IF(AtoutsHandicapsMatos!$C$13=A185,1,0)</f>
        <v>0</v>
      </c>
      <c r="K185">
        <f>IF(AtoutsHandicapsMatos!$C$14=A185,1,0)</f>
        <v>0</v>
      </c>
      <c r="L185">
        <f>IF('Perso Reloaded'!$L$20=A185,1,0)</f>
        <v>0</v>
      </c>
      <c r="M185">
        <f>IF('Perso Reloaded'!$L$21=A185,1,0)</f>
        <v>0</v>
      </c>
      <c r="N185">
        <f>IF('Perso Reloaded'!$L$22=A185,1,0)</f>
        <v>0</v>
      </c>
      <c r="O185">
        <f>IF('Perso Reloaded'!$L$23=A185,1,0)</f>
        <v>0</v>
      </c>
      <c r="P185">
        <f>IF('Perso Reloaded'!$L$24=A185,1,0)</f>
        <v>0</v>
      </c>
      <c r="Q185">
        <f>IF('Perso Reloaded'!$L$25=A185,1,0)</f>
        <v>0</v>
      </c>
      <c r="R185">
        <f>IF('Perso Reloaded'!$L$26=A185,1,0)</f>
        <v>0</v>
      </c>
      <c r="S185">
        <f>IF('Perso Reloaded'!$L$27=A185,1,0)</f>
        <v>0</v>
      </c>
      <c r="T185">
        <f t="shared" si="5"/>
        <v>0</v>
      </c>
      <c r="U185" t="b">
        <f t="shared" si="6"/>
        <v>0</v>
      </c>
    </row>
    <row r="186" spans="1:21" x14ac:dyDescent="0.3">
      <c r="A186" s="67" t="str">
        <f>IF(OR(SexePerso="Féminin",'Perso Reloaded'!$C$6="Féminin"),"Instinct de Tueuse","Instinct de Tueur")</f>
        <v>Instinct de Tueur</v>
      </c>
      <c r="B186">
        <f>IF(AtoutsHandicapsMatos!$C$5=A186,1,0)</f>
        <v>0</v>
      </c>
      <c r="C186">
        <f>IF(AtoutsHandicapsMatos!$C$6=A186,1,0)</f>
        <v>0</v>
      </c>
      <c r="D186">
        <f>IF(AtoutsHandicapsMatos!$C$7=A186,1,0)</f>
        <v>0</v>
      </c>
      <c r="E186">
        <f>IF(AtoutsHandicapsMatos!$C$8=A186,1,0)</f>
        <v>0</v>
      </c>
      <c r="F186">
        <f>IF(AtoutsHandicapsMatos!$C$9=A186,1,0)</f>
        <v>0</v>
      </c>
      <c r="G186">
        <f>IF(AtoutsHandicapsMatos!$C$10=A186,1,0)</f>
        <v>0</v>
      </c>
      <c r="H186">
        <f>IF(AtoutsHandicapsMatos!$C$11=A186,1,0)</f>
        <v>0</v>
      </c>
      <c r="I186">
        <f>IF(AtoutsHandicapsMatos!$C$12=A186,1,0)</f>
        <v>0</v>
      </c>
      <c r="J186">
        <f>IF(AtoutsHandicapsMatos!$C$13=A186,1,0)</f>
        <v>0</v>
      </c>
      <c r="K186">
        <f>IF(AtoutsHandicapsMatos!$C$14=A186,1,0)</f>
        <v>0</v>
      </c>
      <c r="L186">
        <f>IF('Perso Reloaded'!$L$20=A186,1,0)</f>
        <v>0</v>
      </c>
      <c r="M186">
        <f>IF('Perso Reloaded'!$L$21=A186,1,0)</f>
        <v>0</v>
      </c>
      <c r="N186">
        <f>IF('Perso Reloaded'!$L$22=A186,1,0)</f>
        <v>0</v>
      </c>
      <c r="O186">
        <f>IF('Perso Reloaded'!$L$23=A186,1,0)</f>
        <v>0</v>
      </c>
      <c r="P186">
        <f>IF('Perso Reloaded'!$L$24=A186,1,0)</f>
        <v>0</v>
      </c>
      <c r="Q186">
        <f>IF('Perso Reloaded'!$L$25=A186,1,0)</f>
        <v>0</v>
      </c>
      <c r="R186">
        <f>IF('Perso Reloaded'!$L$26=A186,1,0)</f>
        <v>0</v>
      </c>
      <c r="S186">
        <f>IF('Perso Reloaded'!$L$27=A186,1,0)</f>
        <v>0</v>
      </c>
      <c r="T186">
        <f t="shared" si="5"/>
        <v>0</v>
      </c>
      <c r="U186" t="b">
        <f t="shared" si="6"/>
        <v>0</v>
      </c>
    </row>
    <row r="187" spans="1:21" x14ac:dyDescent="0.3">
      <c r="A187" s="67" t="str">
        <f>IF(OR(SexePerso="Féminin",'Perso Reloaded'!$C$6="Féminin"),"Investigatrice","Investigateur")</f>
        <v>Investigateur</v>
      </c>
      <c r="B187">
        <f>IF(AtoutsHandicapsMatos!$C$5=A187,1,0)</f>
        <v>0</v>
      </c>
      <c r="C187">
        <f>IF(AtoutsHandicapsMatos!$C$6=A187,1,0)</f>
        <v>0</v>
      </c>
      <c r="D187">
        <f>IF(AtoutsHandicapsMatos!$C$7=A187,1,0)</f>
        <v>0</v>
      </c>
      <c r="E187">
        <f>IF(AtoutsHandicapsMatos!$C$8=A187,1,0)</f>
        <v>0</v>
      </c>
      <c r="F187">
        <f>IF(AtoutsHandicapsMatos!$C$9=A187,1,0)</f>
        <v>0</v>
      </c>
      <c r="G187">
        <f>IF(AtoutsHandicapsMatos!$C$10=A187,1,0)</f>
        <v>0</v>
      </c>
      <c r="H187">
        <f>IF(AtoutsHandicapsMatos!$C$11=A187,1,0)</f>
        <v>0</v>
      </c>
      <c r="I187">
        <f>IF(AtoutsHandicapsMatos!$C$12=A187,1,0)</f>
        <v>0</v>
      </c>
      <c r="J187">
        <f>IF(AtoutsHandicapsMatos!$C$13=A187,1,0)</f>
        <v>0</v>
      </c>
      <c r="K187">
        <f>IF(AtoutsHandicapsMatos!$C$14=A187,1,0)</f>
        <v>0</v>
      </c>
      <c r="L187">
        <f>IF('Perso Reloaded'!$L$20=A187,1,0)</f>
        <v>0</v>
      </c>
      <c r="M187">
        <f>IF('Perso Reloaded'!$L$21=A187,1,0)</f>
        <v>0</v>
      </c>
      <c r="N187">
        <f>IF('Perso Reloaded'!$L$22=A187,1,0)</f>
        <v>0</v>
      </c>
      <c r="O187">
        <f>IF('Perso Reloaded'!$L$23=A187,1,0)</f>
        <v>0</v>
      </c>
      <c r="P187">
        <f>IF('Perso Reloaded'!$L$24=A187,1,0)</f>
        <v>0</v>
      </c>
      <c r="Q187">
        <f>IF('Perso Reloaded'!$L$25=A187,1,0)</f>
        <v>0</v>
      </c>
      <c r="R187">
        <f>IF('Perso Reloaded'!$L$26=A187,1,0)</f>
        <v>0</v>
      </c>
      <c r="S187">
        <f>IF('Perso Reloaded'!$L$27=A187,1,0)</f>
        <v>0</v>
      </c>
      <c r="T187">
        <f t="shared" si="5"/>
        <v>0</v>
      </c>
      <c r="U187" t="b">
        <f t="shared" si="6"/>
        <v>0</v>
      </c>
    </row>
    <row r="188" spans="1:21" x14ac:dyDescent="0.3">
      <c r="A188" s="67" t="str">
        <f>IF(OR(SexePerso="Féminin",'Perso Reloaded'!$C$6="Féminin"),"Jenny Deux flingues/Pistolera","Johnny Deux flingues/Pistolero")</f>
        <v>Johnny Deux flingues/Pistolero</v>
      </c>
      <c r="B188">
        <f>IF(AtoutsHandicapsMatos!$C$5=A188,1,0)</f>
        <v>0</v>
      </c>
      <c r="C188">
        <f>IF(AtoutsHandicapsMatos!$C$6=A188,1,0)</f>
        <v>0</v>
      </c>
      <c r="D188">
        <f>IF(AtoutsHandicapsMatos!$C$7=A188,1,0)</f>
        <v>0</v>
      </c>
      <c r="E188">
        <f>IF(AtoutsHandicapsMatos!$C$8=A188,1,0)</f>
        <v>0</v>
      </c>
      <c r="F188">
        <f>IF(AtoutsHandicapsMatos!$C$9=A188,1,0)</f>
        <v>0</v>
      </c>
      <c r="G188">
        <f>IF(AtoutsHandicapsMatos!$C$10=A188,1,0)</f>
        <v>0</v>
      </c>
      <c r="H188">
        <f>IF(AtoutsHandicapsMatos!$C$11=A188,1,0)</f>
        <v>0</v>
      </c>
      <c r="I188">
        <f>IF(AtoutsHandicapsMatos!$C$12=A188,1,0)</f>
        <v>0</v>
      </c>
      <c r="J188">
        <f>IF(AtoutsHandicapsMatos!$C$13=A188,1,0)</f>
        <v>0</v>
      </c>
      <c r="K188">
        <f>IF(AtoutsHandicapsMatos!$C$14=A188,1,0)</f>
        <v>0</v>
      </c>
      <c r="L188">
        <f>IF('Perso Reloaded'!$L$20=A188,1,0)</f>
        <v>0</v>
      </c>
      <c r="M188">
        <f>IF('Perso Reloaded'!$L$21=A188,1,0)</f>
        <v>0</v>
      </c>
      <c r="N188">
        <f>IF('Perso Reloaded'!$L$22=A188,1,0)</f>
        <v>0</v>
      </c>
      <c r="O188">
        <f>IF('Perso Reloaded'!$L$23=A188,1,0)</f>
        <v>0</v>
      </c>
      <c r="P188">
        <f>IF('Perso Reloaded'!$L$24=A188,1,0)</f>
        <v>0</v>
      </c>
      <c r="Q188">
        <f>IF('Perso Reloaded'!$L$25=A188,1,0)</f>
        <v>0</v>
      </c>
      <c r="R188">
        <f>IF('Perso Reloaded'!$L$26=A188,1,0)</f>
        <v>0</v>
      </c>
      <c r="S188">
        <f>IF('Perso Reloaded'!$L$27=A188,1,0)</f>
        <v>0</v>
      </c>
      <c r="T188">
        <f t="shared" si="5"/>
        <v>0</v>
      </c>
      <c r="U188" t="b">
        <f t="shared" si="6"/>
        <v>0</v>
      </c>
    </row>
    <row r="189" spans="1:21" x14ac:dyDescent="0.3">
      <c r="A189" s="67" t="str">
        <f>IF(OR(SexePerso="Féminin",'Perso Reloaded'!$C$6="Féminin"),"Jenny Deux flingues/Combat à deux armes","Johnny Deux flingues/Combat à deux armes")</f>
        <v>Johnny Deux flingues/Combat à deux armes</v>
      </c>
      <c r="B189">
        <f>IF(AtoutsHandicapsMatos!$C$5=A189,1,0)</f>
        <v>0</v>
      </c>
      <c r="C189">
        <f>IF(AtoutsHandicapsMatos!$C$6=A189,1,0)</f>
        <v>0</v>
      </c>
      <c r="D189">
        <f>IF(AtoutsHandicapsMatos!$C$7=A189,1,0)</f>
        <v>0</v>
      </c>
      <c r="E189">
        <f>IF(AtoutsHandicapsMatos!$C$8=A189,1,0)</f>
        <v>0</v>
      </c>
      <c r="F189">
        <f>IF(AtoutsHandicapsMatos!$C$9=A189,1,0)</f>
        <v>0</v>
      </c>
      <c r="G189">
        <f>IF(AtoutsHandicapsMatos!$C$10=A189,1,0)</f>
        <v>0</v>
      </c>
      <c r="H189">
        <f>IF(AtoutsHandicapsMatos!$C$11=A189,1,0)</f>
        <v>0</v>
      </c>
      <c r="I189">
        <f>IF(AtoutsHandicapsMatos!$C$12=A189,1,0)</f>
        <v>0</v>
      </c>
      <c r="J189">
        <f>IF(AtoutsHandicapsMatos!$C$13=A189,1,0)</f>
        <v>0</v>
      </c>
      <c r="K189">
        <f>IF(AtoutsHandicapsMatos!$C$14=A189,1,0)</f>
        <v>0</v>
      </c>
      <c r="L189">
        <f>IF('Perso Reloaded'!$L$20=A189,1,0)</f>
        <v>0</v>
      </c>
      <c r="M189">
        <f>IF('Perso Reloaded'!$L$21=A189,1,0)</f>
        <v>0</v>
      </c>
      <c r="N189">
        <f>IF('Perso Reloaded'!$L$22=A189,1,0)</f>
        <v>0</v>
      </c>
      <c r="O189">
        <f>IF('Perso Reloaded'!$L$23=A189,1,0)</f>
        <v>0</v>
      </c>
      <c r="P189">
        <f>IF('Perso Reloaded'!$L$24=A189,1,0)</f>
        <v>0</v>
      </c>
      <c r="Q189">
        <f>IF('Perso Reloaded'!$L$25=A189,1,0)</f>
        <v>0</v>
      </c>
      <c r="R189">
        <f>IF('Perso Reloaded'!$L$26=A189,1,0)</f>
        <v>0</v>
      </c>
      <c r="S189">
        <f>IF('Perso Reloaded'!$L$27=A189,1,0)</f>
        <v>0</v>
      </c>
      <c r="T189">
        <f t="shared" si="5"/>
        <v>0</v>
      </c>
      <c r="U189" t="b">
        <f t="shared" si="6"/>
        <v>0</v>
      </c>
    </row>
    <row r="190" spans="1:21" x14ac:dyDescent="0.3">
      <c r="A190" s="67" t="s">
        <v>4674</v>
      </c>
      <c r="B190">
        <f>IF(AtoutsHandicapsMatos!$C$5=A190,1,0)</f>
        <v>0</v>
      </c>
      <c r="C190">
        <f>IF(AtoutsHandicapsMatos!$C$6=A190,1,0)</f>
        <v>0</v>
      </c>
      <c r="D190">
        <f>IF(AtoutsHandicapsMatos!$C$7=A190,1,0)</f>
        <v>0</v>
      </c>
      <c r="E190">
        <f>IF(AtoutsHandicapsMatos!$C$8=A190,1,0)</f>
        <v>0</v>
      </c>
      <c r="F190">
        <f>IF(AtoutsHandicapsMatos!$C$9=A190,1,0)</f>
        <v>0</v>
      </c>
      <c r="G190">
        <f>IF(AtoutsHandicapsMatos!$C$10=A190,1,0)</f>
        <v>0</v>
      </c>
      <c r="H190">
        <f>IF(AtoutsHandicapsMatos!$C$11=A190,1,0)</f>
        <v>0</v>
      </c>
      <c r="I190">
        <f>IF(AtoutsHandicapsMatos!$C$12=A190,1,0)</f>
        <v>0</v>
      </c>
      <c r="J190">
        <f>IF(AtoutsHandicapsMatos!$C$13=A190,1,0)</f>
        <v>0</v>
      </c>
      <c r="K190">
        <f>IF(AtoutsHandicapsMatos!$C$14=A190,1,0)</f>
        <v>0</v>
      </c>
      <c r="L190">
        <f>IF('Perso Reloaded'!$L$20=A190,1,0)</f>
        <v>0</v>
      </c>
      <c r="M190">
        <f>IF('Perso Reloaded'!$L$21=A190,1,0)</f>
        <v>0</v>
      </c>
      <c r="N190">
        <f>IF('Perso Reloaded'!$L$22=A190,1,0)</f>
        <v>0</v>
      </c>
      <c r="O190">
        <f>IF('Perso Reloaded'!$L$23=A190,1,0)</f>
        <v>0</v>
      </c>
      <c r="P190">
        <f>IF('Perso Reloaded'!$L$24=A190,1,0)</f>
        <v>0</v>
      </c>
      <c r="Q190">
        <f>IF('Perso Reloaded'!$L$25=A190,1,0)</f>
        <v>0</v>
      </c>
      <c r="R190">
        <f>IF('Perso Reloaded'!$L$26=A190,1,0)</f>
        <v>0</v>
      </c>
      <c r="S190">
        <f>IF('Perso Reloaded'!$L$27=A190,1,0)</f>
        <v>0</v>
      </c>
      <c r="T190">
        <f t="shared" si="5"/>
        <v>0</v>
      </c>
      <c r="U190" t="b">
        <f t="shared" si="6"/>
        <v>0</v>
      </c>
    </row>
    <row r="191" spans="1:21" x14ac:dyDescent="0.3">
      <c r="A191" s="67" t="s">
        <v>4675</v>
      </c>
      <c r="B191">
        <f>IF(AtoutsHandicapsMatos!$C$5=A191,1,0)</f>
        <v>0</v>
      </c>
      <c r="C191">
        <f>IF(AtoutsHandicapsMatos!$C$6=A191,1,0)</f>
        <v>0</v>
      </c>
      <c r="D191">
        <f>IF(AtoutsHandicapsMatos!$C$7=A191,1,0)</f>
        <v>0</v>
      </c>
      <c r="E191">
        <f>IF(AtoutsHandicapsMatos!$C$8=A191,1,0)</f>
        <v>0</v>
      </c>
      <c r="F191">
        <f>IF(AtoutsHandicapsMatos!$C$9=A191,1,0)</f>
        <v>0</v>
      </c>
      <c r="G191">
        <f>IF(AtoutsHandicapsMatos!$C$10=A191,1,0)</f>
        <v>0</v>
      </c>
      <c r="H191">
        <f>IF(AtoutsHandicapsMatos!$C$11=A191,1,0)</f>
        <v>0</v>
      </c>
      <c r="I191">
        <f>IF(AtoutsHandicapsMatos!$C$12=A191,1,0)</f>
        <v>0</v>
      </c>
      <c r="J191">
        <f>IF(AtoutsHandicapsMatos!$C$13=A191,1,0)</f>
        <v>0</v>
      </c>
      <c r="K191">
        <f>IF(AtoutsHandicapsMatos!$C$14=A191,1,0)</f>
        <v>0</v>
      </c>
      <c r="L191">
        <f>IF('Perso Reloaded'!$L$20=A191,1,0)</f>
        <v>0</v>
      </c>
      <c r="M191">
        <f>IF('Perso Reloaded'!$L$21=A191,1,0)</f>
        <v>0</v>
      </c>
      <c r="N191">
        <f>IF('Perso Reloaded'!$L$22=A191,1,0)</f>
        <v>0</v>
      </c>
      <c r="O191">
        <f>IF('Perso Reloaded'!$L$23=A191,1,0)</f>
        <v>0</v>
      </c>
      <c r="P191">
        <f>IF('Perso Reloaded'!$L$24=A191,1,0)</f>
        <v>0</v>
      </c>
      <c r="Q191">
        <f>IF('Perso Reloaded'!$L$25=A191,1,0)</f>
        <v>0</v>
      </c>
      <c r="R191">
        <f>IF('Perso Reloaded'!$L$26=A191,1,0)</f>
        <v>0</v>
      </c>
      <c r="S191">
        <f>IF('Perso Reloaded'!$L$27=A191,1,0)</f>
        <v>0</v>
      </c>
      <c r="T191">
        <f t="shared" si="5"/>
        <v>0</v>
      </c>
      <c r="U191" t="b">
        <f t="shared" si="6"/>
        <v>0</v>
      </c>
    </row>
    <row r="192" spans="1:21" x14ac:dyDescent="0.3">
      <c r="A192" s="67" t="s">
        <v>4676</v>
      </c>
      <c r="B192">
        <f>IF(AtoutsHandicapsMatos!$C$5=A192,1,0)</f>
        <v>0</v>
      </c>
      <c r="C192">
        <f>IF(AtoutsHandicapsMatos!$C$6=A192,1,0)</f>
        <v>0</v>
      </c>
      <c r="D192">
        <f>IF(AtoutsHandicapsMatos!$C$7=A192,1,0)</f>
        <v>0</v>
      </c>
      <c r="E192">
        <f>IF(AtoutsHandicapsMatos!$C$8=A192,1,0)</f>
        <v>0</v>
      </c>
      <c r="F192">
        <f>IF(AtoutsHandicapsMatos!$C$9=A192,1,0)</f>
        <v>0</v>
      </c>
      <c r="G192">
        <f>IF(AtoutsHandicapsMatos!$C$10=A192,1,0)</f>
        <v>0</v>
      </c>
      <c r="H192">
        <f>IF(AtoutsHandicapsMatos!$C$11=A192,1,0)</f>
        <v>0</v>
      </c>
      <c r="I192">
        <f>IF(AtoutsHandicapsMatos!$C$12=A192,1,0)</f>
        <v>0</v>
      </c>
      <c r="J192">
        <f>IF(AtoutsHandicapsMatos!$C$13=A192,1,0)</f>
        <v>0</v>
      </c>
      <c r="K192">
        <f>IF(AtoutsHandicapsMatos!$C$14=A192,1,0)</f>
        <v>0</v>
      </c>
      <c r="L192">
        <f>IF('Perso Reloaded'!$L$20=A192,1,0)</f>
        <v>0</v>
      </c>
      <c r="M192">
        <f>IF('Perso Reloaded'!$L$21=A192,1,0)</f>
        <v>0</v>
      </c>
      <c r="N192">
        <f>IF('Perso Reloaded'!$L$22=A192,1,0)</f>
        <v>0</v>
      </c>
      <c r="O192">
        <f>IF('Perso Reloaded'!$L$23=A192,1,0)</f>
        <v>0</v>
      </c>
      <c r="P192">
        <f>IF('Perso Reloaded'!$L$24=A192,1,0)</f>
        <v>0</v>
      </c>
      <c r="Q192">
        <f>IF('Perso Reloaded'!$L$25=A192,1,0)</f>
        <v>0</v>
      </c>
      <c r="R192">
        <f>IF('Perso Reloaded'!$L$26=A192,1,0)</f>
        <v>0</v>
      </c>
      <c r="S192">
        <f>IF('Perso Reloaded'!$L$27=A192,1,0)</f>
        <v>0</v>
      </c>
      <c r="T192">
        <f t="shared" si="5"/>
        <v>0</v>
      </c>
      <c r="U192" t="b">
        <f t="shared" si="6"/>
        <v>0</v>
      </c>
    </row>
    <row r="193" spans="1:21" x14ac:dyDescent="0.3">
      <c r="A193" s="67" t="s">
        <v>4677</v>
      </c>
      <c r="B193">
        <f>IF(AtoutsHandicapsMatos!$C$5=A193,1,0)</f>
        <v>0</v>
      </c>
      <c r="C193">
        <f>IF(AtoutsHandicapsMatos!$C$6=A193,1,0)</f>
        <v>0</v>
      </c>
      <c r="D193">
        <f>IF(AtoutsHandicapsMatos!$C$7=A193,1,0)</f>
        <v>0</v>
      </c>
      <c r="E193">
        <f>IF(AtoutsHandicapsMatos!$C$8=A193,1,0)</f>
        <v>0</v>
      </c>
      <c r="F193">
        <f>IF(AtoutsHandicapsMatos!$C$9=A193,1,0)</f>
        <v>0</v>
      </c>
      <c r="G193">
        <f>IF(AtoutsHandicapsMatos!$C$10=A193,1,0)</f>
        <v>0</v>
      </c>
      <c r="H193">
        <f>IF(AtoutsHandicapsMatos!$C$11=A193,1,0)</f>
        <v>0</v>
      </c>
      <c r="I193">
        <f>IF(AtoutsHandicapsMatos!$C$12=A193,1,0)</f>
        <v>0</v>
      </c>
      <c r="J193">
        <f>IF(AtoutsHandicapsMatos!$C$13=A193,1,0)</f>
        <v>0</v>
      </c>
      <c r="K193">
        <f>IF(AtoutsHandicapsMatos!$C$14=A193,1,0)</f>
        <v>0</v>
      </c>
      <c r="L193">
        <f>IF('Perso Reloaded'!$L$20=A193,1,0)</f>
        <v>0</v>
      </c>
      <c r="M193">
        <f>IF('Perso Reloaded'!$L$21=A193,1,0)</f>
        <v>0</v>
      </c>
      <c r="N193">
        <f>IF('Perso Reloaded'!$L$22=A193,1,0)</f>
        <v>0</v>
      </c>
      <c r="O193">
        <f>IF('Perso Reloaded'!$L$23=A193,1,0)</f>
        <v>0</v>
      </c>
      <c r="P193">
        <f>IF('Perso Reloaded'!$L$24=A193,1,0)</f>
        <v>0</v>
      </c>
      <c r="Q193">
        <f>IF('Perso Reloaded'!$L$25=A193,1,0)</f>
        <v>0</v>
      </c>
      <c r="R193">
        <f>IF('Perso Reloaded'!$L$26=A193,1,0)</f>
        <v>0</v>
      </c>
      <c r="S193">
        <f>IF('Perso Reloaded'!$L$27=A193,1,0)</f>
        <v>0</v>
      </c>
      <c r="T193">
        <f t="shared" si="5"/>
        <v>0</v>
      </c>
      <c r="U193" t="b">
        <f t="shared" si="6"/>
        <v>0</v>
      </c>
    </row>
    <row r="194" spans="1:21" x14ac:dyDescent="0.3">
      <c r="A194" s="67" t="s">
        <v>4678</v>
      </c>
      <c r="B194">
        <f>IF(AtoutsHandicapsMatos!$C$5=A194,1,0)</f>
        <v>0</v>
      </c>
      <c r="C194">
        <f>IF(AtoutsHandicapsMatos!$C$6=A194,1,0)</f>
        <v>0</v>
      </c>
      <c r="D194">
        <f>IF(AtoutsHandicapsMatos!$C$7=A194,1,0)</f>
        <v>0</v>
      </c>
      <c r="E194">
        <f>IF(AtoutsHandicapsMatos!$C$8=A194,1,0)</f>
        <v>0</v>
      </c>
      <c r="F194">
        <f>IF(AtoutsHandicapsMatos!$C$9=A194,1,0)</f>
        <v>0</v>
      </c>
      <c r="G194">
        <f>IF(AtoutsHandicapsMatos!$C$10=A194,1,0)</f>
        <v>0</v>
      </c>
      <c r="H194">
        <f>IF(AtoutsHandicapsMatos!$C$11=A194,1,0)</f>
        <v>0</v>
      </c>
      <c r="I194">
        <f>IF(AtoutsHandicapsMatos!$C$12=A194,1,0)</f>
        <v>0</v>
      </c>
      <c r="J194">
        <f>IF(AtoutsHandicapsMatos!$C$13=A194,1,0)</f>
        <v>0</v>
      </c>
      <c r="K194">
        <f>IF(AtoutsHandicapsMatos!$C$14=A194,1,0)</f>
        <v>0</v>
      </c>
      <c r="L194">
        <f>IF('Perso Reloaded'!$L$20=A194,1,0)</f>
        <v>0</v>
      </c>
      <c r="M194">
        <f>IF('Perso Reloaded'!$L$21=A194,1,0)</f>
        <v>0</v>
      </c>
      <c r="N194">
        <f>IF('Perso Reloaded'!$L$22=A194,1,0)</f>
        <v>0</v>
      </c>
      <c r="O194">
        <f>IF('Perso Reloaded'!$L$23=A194,1,0)</f>
        <v>0</v>
      </c>
      <c r="P194">
        <f>IF('Perso Reloaded'!$L$24=A194,1,0)</f>
        <v>0</v>
      </c>
      <c r="Q194">
        <f>IF('Perso Reloaded'!$L$25=A194,1,0)</f>
        <v>0</v>
      </c>
      <c r="R194">
        <f>IF('Perso Reloaded'!$L$26=A194,1,0)</f>
        <v>0</v>
      </c>
      <c r="S194">
        <f>IF('Perso Reloaded'!$L$27=A194,1,0)</f>
        <v>0</v>
      </c>
      <c r="T194">
        <f t="shared" si="5"/>
        <v>0</v>
      </c>
      <c r="U194" t="b">
        <f t="shared" si="6"/>
        <v>0</v>
      </c>
    </row>
    <row r="195" spans="1:21" x14ac:dyDescent="0.3">
      <c r="A195" s="67" t="s">
        <v>4679</v>
      </c>
      <c r="B195">
        <f>IF(AtoutsHandicapsMatos!$C$5=A195,1,0)</f>
        <v>0</v>
      </c>
      <c r="C195">
        <f>IF(AtoutsHandicapsMatos!$C$6=A195,1,0)</f>
        <v>0</v>
      </c>
      <c r="D195">
        <f>IF(AtoutsHandicapsMatos!$C$7=A195,1,0)</f>
        <v>0</v>
      </c>
      <c r="E195">
        <f>IF(AtoutsHandicapsMatos!$C$8=A195,1,0)</f>
        <v>0</v>
      </c>
      <c r="F195">
        <f>IF(AtoutsHandicapsMatos!$C$9=A195,1,0)</f>
        <v>0</v>
      </c>
      <c r="G195">
        <f>IF(AtoutsHandicapsMatos!$C$10=A195,1,0)</f>
        <v>0</v>
      </c>
      <c r="H195">
        <f>IF(AtoutsHandicapsMatos!$C$11=A195,1,0)</f>
        <v>0</v>
      </c>
      <c r="I195">
        <f>IF(AtoutsHandicapsMatos!$C$12=A195,1,0)</f>
        <v>0</v>
      </c>
      <c r="J195">
        <f>IF(AtoutsHandicapsMatos!$C$13=A195,1,0)</f>
        <v>0</v>
      </c>
      <c r="K195">
        <f>IF(AtoutsHandicapsMatos!$C$14=A195,1,0)</f>
        <v>0</v>
      </c>
      <c r="L195">
        <f>IF('Perso Reloaded'!$L$20=A195,1,0)</f>
        <v>0</v>
      </c>
      <c r="M195">
        <f>IF('Perso Reloaded'!$L$21=A195,1,0)</f>
        <v>0</v>
      </c>
      <c r="N195">
        <f>IF('Perso Reloaded'!$L$22=A195,1,0)</f>
        <v>0</v>
      </c>
      <c r="O195">
        <f>IF('Perso Reloaded'!$L$23=A195,1,0)</f>
        <v>0</v>
      </c>
      <c r="P195">
        <f>IF('Perso Reloaded'!$L$24=A195,1,0)</f>
        <v>0</v>
      </c>
      <c r="Q195">
        <f>IF('Perso Reloaded'!$L$25=A195,1,0)</f>
        <v>0</v>
      </c>
      <c r="R195">
        <f>IF('Perso Reloaded'!$L$26=A195,1,0)</f>
        <v>0</v>
      </c>
      <c r="S195">
        <f>IF('Perso Reloaded'!$L$27=A195,1,0)</f>
        <v>0</v>
      </c>
      <c r="T195">
        <f t="shared" si="5"/>
        <v>0</v>
      </c>
      <c r="U195" t="b">
        <f t="shared" si="6"/>
        <v>0</v>
      </c>
    </row>
    <row r="196" spans="1:21" x14ac:dyDescent="0.3">
      <c r="A196" s="67" t="s">
        <v>4680</v>
      </c>
      <c r="B196">
        <f>IF(AtoutsHandicapsMatos!$C$5=A196,1,0)</f>
        <v>0</v>
      </c>
      <c r="C196">
        <f>IF(AtoutsHandicapsMatos!$C$6=A196,1,0)</f>
        <v>0</v>
      </c>
      <c r="D196">
        <f>IF(AtoutsHandicapsMatos!$C$7=A196,1,0)</f>
        <v>0</v>
      </c>
      <c r="E196">
        <f>IF(AtoutsHandicapsMatos!$C$8=A196,1,0)</f>
        <v>0</v>
      </c>
      <c r="F196">
        <f>IF(AtoutsHandicapsMatos!$C$9=A196,1,0)</f>
        <v>0</v>
      </c>
      <c r="G196">
        <f>IF(AtoutsHandicapsMatos!$C$10=A196,1,0)</f>
        <v>0</v>
      </c>
      <c r="H196">
        <f>IF(AtoutsHandicapsMatos!$C$11=A196,1,0)</f>
        <v>0</v>
      </c>
      <c r="I196">
        <f>IF(AtoutsHandicapsMatos!$C$12=A196,1,0)</f>
        <v>0</v>
      </c>
      <c r="J196">
        <f>IF(AtoutsHandicapsMatos!$C$13=A196,1,0)</f>
        <v>0</v>
      </c>
      <c r="K196">
        <f>IF(AtoutsHandicapsMatos!$C$14=A196,1,0)</f>
        <v>0</v>
      </c>
      <c r="L196">
        <f>IF('Perso Reloaded'!$L$20=A196,1,0)</f>
        <v>0</v>
      </c>
      <c r="M196">
        <f>IF('Perso Reloaded'!$L$21=A196,1,0)</f>
        <v>0</v>
      </c>
      <c r="N196">
        <f>IF('Perso Reloaded'!$L$22=A196,1,0)</f>
        <v>0</v>
      </c>
      <c r="O196">
        <f>IF('Perso Reloaded'!$L$23=A196,1,0)</f>
        <v>0</v>
      </c>
      <c r="P196">
        <f>IF('Perso Reloaded'!$L$24=A196,1,0)</f>
        <v>0</v>
      </c>
      <c r="Q196">
        <f>IF('Perso Reloaded'!$L$25=A196,1,0)</f>
        <v>0</v>
      </c>
      <c r="R196">
        <f>IF('Perso Reloaded'!$L$26=A196,1,0)</f>
        <v>0</v>
      </c>
      <c r="S196">
        <f>IF('Perso Reloaded'!$L$27=A196,1,0)</f>
        <v>0</v>
      </c>
      <c r="T196">
        <f t="shared" si="5"/>
        <v>0</v>
      </c>
      <c r="U196" t="b">
        <f t="shared" si="6"/>
        <v>0</v>
      </c>
    </row>
    <row r="197" spans="1:21" x14ac:dyDescent="0.3">
      <c r="A197" s="67" t="s">
        <v>4681</v>
      </c>
      <c r="B197">
        <f>IF(AtoutsHandicapsMatos!$C$5=A197,1,0)</f>
        <v>0</v>
      </c>
      <c r="C197">
        <f>IF(AtoutsHandicapsMatos!$C$6=A197,1,0)</f>
        <v>0</v>
      </c>
      <c r="D197">
        <f>IF(AtoutsHandicapsMatos!$C$7=A197,1,0)</f>
        <v>0</v>
      </c>
      <c r="E197">
        <f>IF(AtoutsHandicapsMatos!$C$8=A197,1,0)</f>
        <v>0</v>
      </c>
      <c r="F197">
        <f>IF(AtoutsHandicapsMatos!$C$9=A197,1,0)</f>
        <v>0</v>
      </c>
      <c r="G197">
        <f>IF(AtoutsHandicapsMatos!$C$10=A197,1,0)</f>
        <v>0</v>
      </c>
      <c r="H197">
        <f>IF(AtoutsHandicapsMatos!$C$11=A197,1,0)</f>
        <v>0</v>
      </c>
      <c r="I197">
        <f>IF(AtoutsHandicapsMatos!$C$12=A197,1,0)</f>
        <v>0</v>
      </c>
      <c r="J197">
        <f>IF(AtoutsHandicapsMatos!$C$13=A197,1,0)</f>
        <v>0</v>
      </c>
      <c r="K197">
        <f>IF(AtoutsHandicapsMatos!$C$14=A197,1,0)</f>
        <v>0</v>
      </c>
      <c r="L197">
        <f>IF('Perso Reloaded'!$L$20=A197,1,0)</f>
        <v>0</v>
      </c>
      <c r="M197">
        <f>IF('Perso Reloaded'!$L$21=A197,1,0)</f>
        <v>0</v>
      </c>
      <c r="N197">
        <f>IF('Perso Reloaded'!$L$22=A197,1,0)</f>
        <v>0</v>
      </c>
      <c r="O197">
        <f>IF('Perso Reloaded'!$L$23=A197,1,0)</f>
        <v>0</v>
      </c>
      <c r="P197">
        <f>IF('Perso Reloaded'!$L$24=A197,1,0)</f>
        <v>0</v>
      </c>
      <c r="Q197">
        <f>IF('Perso Reloaded'!$L$25=A197,1,0)</f>
        <v>0</v>
      </c>
      <c r="R197">
        <f>IF('Perso Reloaded'!$L$26=A197,1,0)</f>
        <v>0</v>
      </c>
      <c r="S197">
        <f>IF('Perso Reloaded'!$L$27=A197,1,0)</f>
        <v>0</v>
      </c>
      <c r="T197">
        <f t="shared" ref="T197:T262" si="9">SUM(B197:S197)</f>
        <v>0</v>
      </c>
      <c r="U197" t="b">
        <f t="shared" ref="U197:U262" si="10">IF(T197=0,FALSE,TRUE)</f>
        <v>0</v>
      </c>
    </row>
    <row r="198" spans="1:21" x14ac:dyDescent="0.3">
      <c r="A198" s="67" t="s">
        <v>4682</v>
      </c>
      <c r="B198">
        <f>IF(AtoutsHandicapsMatos!$C$5=A198,1,0)</f>
        <v>0</v>
      </c>
      <c r="C198">
        <f>IF(AtoutsHandicapsMatos!$C$6=A198,1,0)</f>
        <v>0</v>
      </c>
      <c r="D198">
        <f>IF(AtoutsHandicapsMatos!$C$7=A198,1,0)</f>
        <v>0</v>
      </c>
      <c r="E198">
        <f>IF(AtoutsHandicapsMatos!$C$8=A198,1,0)</f>
        <v>0</v>
      </c>
      <c r="F198">
        <f>IF(AtoutsHandicapsMatos!$C$9=A198,1,0)</f>
        <v>0</v>
      </c>
      <c r="G198">
        <f>IF(AtoutsHandicapsMatos!$C$10=A198,1,0)</f>
        <v>0</v>
      </c>
      <c r="H198">
        <f>IF(AtoutsHandicapsMatos!$C$11=A198,1,0)</f>
        <v>0</v>
      </c>
      <c r="I198">
        <f>IF(AtoutsHandicapsMatos!$C$12=A198,1,0)</f>
        <v>0</v>
      </c>
      <c r="J198">
        <f>IF(AtoutsHandicapsMatos!$C$13=A198,1,0)</f>
        <v>0</v>
      </c>
      <c r="K198">
        <f>IF(AtoutsHandicapsMatos!$C$14=A198,1,0)</f>
        <v>0</v>
      </c>
      <c r="L198">
        <f>IF('Perso Reloaded'!$L$20=A198,1,0)</f>
        <v>0</v>
      </c>
      <c r="M198">
        <f>IF('Perso Reloaded'!$L$21=A198,1,0)</f>
        <v>0</v>
      </c>
      <c r="N198">
        <f>IF('Perso Reloaded'!$L$22=A198,1,0)</f>
        <v>0</v>
      </c>
      <c r="O198">
        <f>IF('Perso Reloaded'!$L$23=A198,1,0)</f>
        <v>0</v>
      </c>
      <c r="P198">
        <f>IF('Perso Reloaded'!$L$24=A198,1,0)</f>
        <v>0</v>
      </c>
      <c r="Q198">
        <f>IF('Perso Reloaded'!$L$25=A198,1,0)</f>
        <v>0</v>
      </c>
      <c r="R198">
        <f>IF('Perso Reloaded'!$L$26=A198,1,0)</f>
        <v>0</v>
      </c>
      <c r="S198">
        <f>IF('Perso Reloaded'!$L$27=A198,1,0)</f>
        <v>0</v>
      </c>
      <c r="T198">
        <f t="shared" si="9"/>
        <v>0</v>
      </c>
      <c r="U198" t="b">
        <f t="shared" si="10"/>
        <v>0</v>
      </c>
    </row>
    <row r="199" spans="1:21" x14ac:dyDescent="0.3">
      <c r="A199" s="67" t="s">
        <v>3529</v>
      </c>
      <c r="B199">
        <f>IF(AtoutsHandicapsMatos!$C$5=A199,1,0)</f>
        <v>0</v>
      </c>
      <c r="C199">
        <f>IF(AtoutsHandicapsMatos!$C$6=A199,1,0)</f>
        <v>0</v>
      </c>
      <c r="D199">
        <f>IF(AtoutsHandicapsMatos!$C$7=A199,1,0)</f>
        <v>0</v>
      </c>
      <c r="E199">
        <f>IF(AtoutsHandicapsMatos!$C$8=A199,1,0)</f>
        <v>0</v>
      </c>
      <c r="F199">
        <f>IF(AtoutsHandicapsMatos!$C$9=A199,1,0)</f>
        <v>0</v>
      </c>
      <c r="G199">
        <f>IF(AtoutsHandicapsMatos!$C$10=A199,1,0)</f>
        <v>0</v>
      </c>
      <c r="H199">
        <f>IF(AtoutsHandicapsMatos!$C$11=A199,1,0)</f>
        <v>0</v>
      </c>
      <c r="I199">
        <f>IF(AtoutsHandicapsMatos!$C$12=A199,1,0)</f>
        <v>0</v>
      </c>
      <c r="J199">
        <f>IF(AtoutsHandicapsMatos!$C$13=A199,1,0)</f>
        <v>0</v>
      </c>
      <c r="K199">
        <f>IF(AtoutsHandicapsMatos!$C$14=A199,1,0)</f>
        <v>0</v>
      </c>
      <c r="L199">
        <f>IF('Perso Reloaded'!$L$20=A199,1,0)</f>
        <v>0</v>
      </c>
      <c r="M199">
        <f>IF('Perso Reloaded'!$L$21=A199,1,0)</f>
        <v>0</v>
      </c>
      <c r="N199">
        <f>IF('Perso Reloaded'!$L$22=A199,1,0)</f>
        <v>0</v>
      </c>
      <c r="O199">
        <f>IF('Perso Reloaded'!$L$23=A199,1,0)</f>
        <v>0</v>
      </c>
      <c r="P199">
        <f>IF('Perso Reloaded'!$L$24=A199,1,0)</f>
        <v>0</v>
      </c>
      <c r="Q199">
        <f>IF('Perso Reloaded'!$L$25=A199,1,0)</f>
        <v>0</v>
      </c>
      <c r="R199">
        <f>IF('Perso Reloaded'!$L$26=A199,1,0)</f>
        <v>0</v>
      </c>
      <c r="S199">
        <f>IF('Perso Reloaded'!$L$27=A199,1,0)</f>
        <v>0</v>
      </c>
      <c r="T199">
        <f t="shared" si="9"/>
        <v>0</v>
      </c>
      <c r="U199" t="b">
        <f t="shared" si="10"/>
        <v>0</v>
      </c>
    </row>
    <row r="200" spans="1:21" x14ac:dyDescent="0.3">
      <c r="A200" s="67" t="s">
        <v>3531</v>
      </c>
      <c r="B200">
        <f>IF(AtoutsHandicapsMatos!$C$5=A200,1,0)</f>
        <v>0</v>
      </c>
      <c r="C200">
        <f>IF(AtoutsHandicapsMatos!$C$6=A200,1,0)</f>
        <v>0</v>
      </c>
      <c r="D200">
        <f>IF(AtoutsHandicapsMatos!$C$7=A200,1,0)</f>
        <v>0</v>
      </c>
      <c r="E200">
        <f>IF(AtoutsHandicapsMatos!$C$8=A200,1,0)</f>
        <v>0</v>
      </c>
      <c r="F200">
        <f>IF(AtoutsHandicapsMatos!$C$9=A200,1,0)</f>
        <v>0</v>
      </c>
      <c r="G200">
        <f>IF(AtoutsHandicapsMatos!$C$10=A200,1,0)</f>
        <v>0</v>
      </c>
      <c r="H200">
        <f>IF(AtoutsHandicapsMatos!$C$11=A200,1,0)</f>
        <v>0</v>
      </c>
      <c r="I200">
        <f>IF(AtoutsHandicapsMatos!$C$12=A200,1,0)</f>
        <v>0</v>
      </c>
      <c r="J200">
        <f>IF(AtoutsHandicapsMatos!$C$13=A200,1,0)</f>
        <v>0</v>
      </c>
      <c r="K200">
        <f>IF(AtoutsHandicapsMatos!$C$14=A200,1,0)</f>
        <v>0</v>
      </c>
      <c r="L200">
        <f>IF('Perso Reloaded'!$L$20=A200,1,0)</f>
        <v>0</v>
      </c>
      <c r="M200">
        <f>IF('Perso Reloaded'!$L$21=A200,1,0)</f>
        <v>0</v>
      </c>
      <c r="N200">
        <f>IF('Perso Reloaded'!$L$22=A200,1,0)</f>
        <v>0</v>
      </c>
      <c r="O200">
        <f>IF('Perso Reloaded'!$L$23=A200,1,0)</f>
        <v>0</v>
      </c>
      <c r="P200">
        <f>IF('Perso Reloaded'!$L$24=A200,1,0)</f>
        <v>0</v>
      </c>
      <c r="Q200">
        <f>IF('Perso Reloaded'!$L$25=A200,1,0)</f>
        <v>0</v>
      </c>
      <c r="R200">
        <f>IF('Perso Reloaded'!$L$26=A200,1,0)</f>
        <v>0</v>
      </c>
      <c r="S200">
        <f>IF('Perso Reloaded'!$L$27=A200,1,0)</f>
        <v>0</v>
      </c>
      <c r="T200">
        <f t="shared" si="9"/>
        <v>0</v>
      </c>
      <c r="U200" t="b">
        <f t="shared" si="10"/>
        <v>0</v>
      </c>
    </row>
    <row r="201" spans="1:21" x14ac:dyDescent="0.3">
      <c r="A201" s="67" t="s">
        <v>3533</v>
      </c>
      <c r="B201">
        <f>IF(AtoutsHandicapsMatos!$C$5=A201,1,0)</f>
        <v>0</v>
      </c>
      <c r="C201">
        <f>IF(AtoutsHandicapsMatos!$C$6=A201,1,0)</f>
        <v>0</v>
      </c>
      <c r="D201">
        <f>IF(AtoutsHandicapsMatos!$C$7=A201,1,0)</f>
        <v>0</v>
      </c>
      <c r="E201">
        <f>IF(AtoutsHandicapsMatos!$C$8=A201,1,0)</f>
        <v>0</v>
      </c>
      <c r="F201">
        <f>IF(AtoutsHandicapsMatos!$C$9=A201,1,0)</f>
        <v>0</v>
      </c>
      <c r="G201">
        <f>IF(AtoutsHandicapsMatos!$C$10=A201,1,0)</f>
        <v>0</v>
      </c>
      <c r="H201">
        <f>IF(AtoutsHandicapsMatos!$C$11=A201,1,0)</f>
        <v>0</v>
      </c>
      <c r="I201">
        <f>IF(AtoutsHandicapsMatos!$C$12=A201,1,0)</f>
        <v>0</v>
      </c>
      <c r="J201">
        <f>IF(AtoutsHandicapsMatos!$C$13=A201,1,0)</f>
        <v>0</v>
      </c>
      <c r="K201">
        <f>IF(AtoutsHandicapsMatos!$C$14=A201,1,0)</f>
        <v>0</v>
      </c>
      <c r="L201">
        <f>IF('Perso Reloaded'!$L$20=A201,1,0)</f>
        <v>0</v>
      </c>
      <c r="M201">
        <f>IF('Perso Reloaded'!$L$21=A201,1,0)</f>
        <v>0</v>
      </c>
      <c r="N201">
        <f>IF('Perso Reloaded'!$L$22=A201,1,0)</f>
        <v>0</v>
      </c>
      <c r="O201">
        <f>IF('Perso Reloaded'!$L$23=A201,1,0)</f>
        <v>0</v>
      </c>
      <c r="P201">
        <f>IF('Perso Reloaded'!$L$24=A201,1,0)</f>
        <v>0</v>
      </c>
      <c r="Q201">
        <f>IF('Perso Reloaded'!$L$25=A201,1,0)</f>
        <v>0</v>
      </c>
      <c r="R201">
        <f>IF('Perso Reloaded'!$L$26=A201,1,0)</f>
        <v>0</v>
      </c>
      <c r="S201">
        <f>IF('Perso Reloaded'!$L$27=A201,1,0)</f>
        <v>0</v>
      </c>
      <c r="T201">
        <f t="shared" si="9"/>
        <v>0</v>
      </c>
      <c r="U201" t="b">
        <f t="shared" si="10"/>
        <v>0</v>
      </c>
    </row>
    <row r="202" spans="1:21" x14ac:dyDescent="0.3">
      <c r="A202" s="67" t="s">
        <v>3536</v>
      </c>
      <c r="B202">
        <f>IF(AtoutsHandicapsMatos!$C$5=A202,1,0)</f>
        <v>0</v>
      </c>
      <c r="C202">
        <f>IF(AtoutsHandicapsMatos!$C$6=A202,1,0)</f>
        <v>0</v>
      </c>
      <c r="D202">
        <f>IF(AtoutsHandicapsMatos!$C$7=A202,1,0)</f>
        <v>0</v>
      </c>
      <c r="E202">
        <f>IF(AtoutsHandicapsMatos!$C$8=A202,1,0)</f>
        <v>0</v>
      </c>
      <c r="F202">
        <f>IF(AtoutsHandicapsMatos!$C$9=A202,1,0)</f>
        <v>0</v>
      </c>
      <c r="G202">
        <f>IF(AtoutsHandicapsMatos!$C$10=A202,1,0)</f>
        <v>0</v>
      </c>
      <c r="H202">
        <f>IF(AtoutsHandicapsMatos!$C$11=A202,1,0)</f>
        <v>0</v>
      </c>
      <c r="I202">
        <f>IF(AtoutsHandicapsMatos!$C$12=A202,1,0)</f>
        <v>0</v>
      </c>
      <c r="J202">
        <f>IF(AtoutsHandicapsMatos!$C$13=A202,1,0)</f>
        <v>0</v>
      </c>
      <c r="K202">
        <f>IF(AtoutsHandicapsMatos!$C$14=A202,1,0)</f>
        <v>0</v>
      </c>
      <c r="L202">
        <f>IF('Perso Reloaded'!$L$20=A202,1,0)</f>
        <v>0</v>
      </c>
      <c r="M202">
        <f>IF('Perso Reloaded'!$L$21=A202,1,0)</f>
        <v>0</v>
      </c>
      <c r="N202">
        <f>IF('Perso Reloaded'!$L$22=A202,1,0)</f>
        <v>0</v>
      </c>
      <c r="O202">
        <f>IF('Perso Reloaded'!$L$23=A202,1,0)</f>
        <v>0</v>
      </c>
      <c r="P202">
        <f>IF('Perso Reloaded'!$L$24=A202,1,0)</f>
        <v>0</v>
      </c>
      <c r="Q202">
        <f>IF('Perso Reloaded'!$L$25=A202,1,0)</f>
        <v>0</v>
      </c>
      <c r="R202">
        <f>IF('Perso Reloaded'!$L$26=A202,1,0)</f>
        <v>0</v>
      </c>
      <c r="S202">
        <f>IF('Perso Reloaded'!$L$27=A202,1,0)</f>
        <v>0</v>
      </c>
      <c r="T202">
        <f t="shared" si="9"/>
        <v>0</v>
      </c>
      <c r="U202" t="b">
        <f t="shared" si="10"/>
        <v>0</v>
      </c>
    </row>
    <row r="203" spans="1:21" x14ac:dyDescent="0.3">
      <c r="A203" s="67" t="s">
        <v>3537</v>
      </c>
      <c r="B203">
        <f>IF(AtoutsHandicapsMatos!$C$5=A203,1,0)</f>
        <v>0</v>
      </c>
      <c r="C203">
        <f>IF(AtoutsHandicapsMatos!$C$6=A203,1,0)</f>
        <v>0</v>
      </c>
      <c r="D203">
        <f>IF(AtoutsHandicapsMatos!$C$7=A203,1,0)</f>
        <v>0</v>
      </c>
      <c r="E203">
        <f>IF(AtoutsHandicapsMatos!$C$8=A203,1,0)</f>
        <v>0</v>
      </c>
      <c r="F203">
        <f>IF(AtoutsHandicapsMatos!$C$9=A203,1,0)</f>
        <v>0</v>
      </c>
      <c r="G203">
        <f>IF(AtoutsHandicapsMatos!$C$10=A203,1,0)</f>
        <v>0</v>
      </c>
      <c r="H203">
        <f>IF(AtoutsHandicapsMatos!$C$11=A203,1,0)</f>
        <v>0</v>
      </c>
      <c r="I203">
        <f>IF(AtoutsHandicapsMatos!$C$12=A203,1,0)</f>
        <v>0</v>
      </c>
      <c r="J203">
        <f>IF(AtoutsHandicapsMatos!$C$13=A203,1,0)</f>
        <v>0</v>
      </c>
      <c r="K203">
        <f>IF(AtoutsHandicapsMatos!$C$14=A203,1,0)</f>
        <v>0</v>
      </c>
      <c r="L203">
        <f>IF('Perso Reloaded'!$L$20=A203,1,0)</f>
        <v>0</v>
      </c>
      <c r="M203">
        <f>IF('Perso Reloaded'!$L$21=A203,1,0)</f>
        <v>0</v>
      </c>
      <c r="N203">
        <f>IF('Perso Reloaded'!$L$22=A203,1,0)</f>
        <v>0</v>
      </c>
      <c r="O203">
        <f>IF('Perso Reloaded'!$L$23=A203,1,0)</f>
        <v>0</v>
      </c>
      <c r="P203">
        <f>IF('Perso Reloaded'!$L$24=A203,1,0)</f>
        <v>0</v>
      </c>
      <c r="Q203">
        <f>IF('Perso Reloaded'!$L$25=A203,1,0)</f>
        <v>0</v>
      </c>
      <c r="R203">
        <f>IF('Perso Reloaded'!$L$26=A203,1,0)</f>
        <v>0</v>
      </c>
      <c r="S203">
        <f>IF('Perso Reloaded'!$L$27=A203,1,0)</f>
        <v>0</v>
      </c>
      <c r="T203">
        <f t="shared" si="9"/>
        <v>0</v>
      </c>
      <c r="U203" t="b">
        <f t="shared" si="10"/>
        <v>0</v>
      </c>
    </row>
    <row r="204" spans="1:21" x14ac:dyDescent="0.3">
      <c r="A204" s="67" t="s">
        <v>3539</v>
      </c>
      <c r="B204">
        <f>IF(AtoutsHandicapsMatos!$C$5=A204,1,0)</f>
        <v>0</v>
      </c>
      <c r="C204">
        <f>IF(AtoutsHandicapsMatos!$C$6=A204,1,0)</f>
        <v>0</v>
      </c>
      <c r="D204">
        <f>IF(AtoutsHandicapsMatos!$C$7=A204,1,0)</f>
        <v>0</v>
      </c>
      <c r="E204">
        <f>IF(AtoutsHandicapsMatos!$C$8=A204,1,0)</f>
        <v>0</v>
      </c>
      <c r="F204">
        <f>IF(AtoutsHandicapsMatos!$C$9=A204,1,0)</f>
        <v>0</v>
      </c>
      <c r="G204">
        <f>IF(AtoutsHandicapsMatos!$C$10=A204,1,0)</f>
        <v>0</v>
      </c>
      <c r="H204">
        <f>IF(AtoutsHandicapsMatos!$C$11=A204,1,0)</f>
        <v>0</v>
      </c>
      <c r="I204">
        <f>IF(AtoutsHandicapsMatos!$C$12=A204,1,0)</f>
        <v>0</v>
      </c>
      <c r="J204">
        <f>IF(AtoutsHandicapsMatos!$C$13=A204,1,0)</f>
        <v>0</v>
      </c>
      <c r="K204">
        <f>IF(AtoutsHandicapsMatos!$C$14=A204,1,0)</f>
        <v>0</v>
      </c>
      <c r="L204">
        <f>IF('Perso Reloaded'!$L$20=A204,1,0)</f>
        <v>0</v>
      </c>
      <c r="M204">
        <f>IF('Perso Reloaded'!$L$21=A204,1,0)</f>
        <v>0</v>
      </c>
      <c r="N204">
        <f>IF('Perso Reloaded'!$L$22=A204,1,0)</f>
        <v>0</v>
      </c>
      <c r="O204">
        <f>IF('Perso Reloaded'!$L$23=A204,1,0)</f>
        <v>0</v>
      </c>
      <c r="P204">
        <f>IF('Perso Reloaded'!$L$24=A204,1,0)</f>
        <v>0</v>
      </c>
      <c r="Q204">
        <f>IF('Perso Reloaded'!$L$25=A204,1,0)</f>
        <v>0</v>
      </c>
      <c r="R204">
        <f>IF('Perso Reloaded'!$L$26=A204,1,0)</f>
        <v>0</v>
      </c>
      <c r="S204">
        <f>IF('Perso Reloaded'!$L$27=A204,1,0)</f>
        <v>0</v>
      </c>
      <c r="T204">
        <f t="shared" si="9"/>
        <v>0</v>
      </c>
      <c r="U204" t="b">
        <f t="shared" si="10"/>
        <v>0</v>
      </c>
    </row>
    <row r="205" spans="1:21" x14ac:dyDescent="0.3">
      <c r="A205" s="67" t="s">
        <v>3541</v>
      </c>
      <c r="B205">
        <f>IF(AtoutsHandicapsMatos!$C$5=A205,1,0)</f>
        <v>0</v>
      </c>
      <c r="C205">
        <f>IF(AtoutsHandicapsMatos!$C$6=A205,1,0)</f>
        <v>0</v>
      </c>
      <c r="D205">
        <f>IF(AtoutsHandicapsMatos!$C$7=A205,1,0)</f>
        <v>0</v>
      </c>
      <c r="E205">
        <f>IF(AtoutsHandicapsMatos!$C$8=A205,1,0)</f>
        <v>0</v>
      </c>
      <c r="F205">
        <f>IF(AtoutsHandicapsMatos!$C$9=A205,1,0)</f>
        <v>0</v>
      </c>
      <c r="G205">
        <f>IF(AtoutsHandicapsMatos!$C$10=A205,1,0)</f>
        <v>0</v>
      </c>
      <c r="H205">
        <f>IF(AtoutsHandicapsMatos!$C$11=A205,1,0)</f>
        <v>0</v>
      </c>
      <c r="I205">
        <f>IF(AtoutsHandicapsMatos!$C$12=A205,1,0)</f>
        <v>0</v>
      </c>
      <c r="J205">
        <f>IF(AtoutsHandicapsMatos!$C$13=A205,1,0)</f>
        <v>0</v>
      </c>
      <c r="K205">
        <f>IF(AtoutsHandicapsMatos!$C$14=A205,1,0)</f>
        <v>0</v>
      </c>
      <c r="L205">
        <f>IF('Perso Reloaded'!$L$20=A205,1,0)</f>
        <v>0</v>
      </c>
      <c r="M205">
        <f>IF('Perso Reloaded'!$L$21=A205,1,0)</f>
        <v>0</v>
      </c>
      <c r="N205">
        <f>IF('Perso Reloaded'!$L$22=A205,1,0)</f>
        <v>0</v>
      </c>
      <c r="O205">
        <f>IF('Perso Reloaded'!$L$23=A205,1,0)</f>
        <v>0</v>
      </c>
      <c r="P205">
        <f>IF('Perso Reloaded'!$L$24=A205,1,0)</f>
        <v>0</v>
      </c>
      <c r="Q205">
        <f>IF('Perso Reloaded'!$L$25=A205,1,0)</f>
        <v>0</v>
      </c>
      <c r="R205">
        <f>IF('Perso Reloaded'!$L$26=A205,1,0)</f>
        <v>0</v>
      </c>
      <c r="S205">
        <f>IF('Perso Reloaded'!$L$27=A205,1,0)</f>
        <v>0</v>
      </c>
      <c r="T205">
        <f t="shared" si="9"/>
        <v>0</v>
      </c>
      <c r="U205" t="b">
        <f t="shared" si="10"/>
        <v>0</v>
      </c>
    </row>
    <row r="206" spans="1:21" x14ac:dyDescent="0.3">
      <c r="A206" s="67" t="s">
        <v>3543</v>
      </c>
      <c r="B206">
        <f>IF(AtoutsHandicapsMatos!$C$5=A206,1,0)</f>
        <v>0</v>
      </c>
      <c r="C206">
        <f>IF(AtoutsHandicapsMatos!$C$6=A206,1,0)</f>
        <v>0</v>
      </c>
      <c r="D206">
        <f>IF(AtoutsHandicapsMatos!$C$7=A206,1,0)</f>
        <v>0</v>
      </c>
      <c r="E206">
        <f>IF(AtoutsHandicapsMatos!$C$8=A206,1,0)</f>
        <v>0</v>
      </c>
      <c r="F206">
        <f>IF(AtoutsHandicapsMatos!$C$9=A206,1,0)</f>
        <v>0</v>
      </c>
      <c r="G206">
        <f>IF(AtoutsHandicapsMatos!$C$10=A206,1,0)</f>
        <v>0</v>
      </c>
      <c r="H206">
        <f>IF(AtoutsHandicapsMatos!$C$11=A206,1,0)</f>
        <v>0</v>
      </c>
      <c r="I206">
        <f>IF(AtoutsHandicapsMatos!$C$12=A206,1,0)</f>
        <v>0</v>
      </c>
      <c r="J206">
        <f>IF(AtoutsHandicapsMatos!$C$13=A206,1,0)</f>
        <v>0</v>
      </c>
      <c r="K206">
        <f>IF(AtoutsHandicapsMatos!$C$14=A206,1,0)</f>
        <v>0</v>
      </c>
      <c r="L206">
        <f>IF('Perso Reloaded'!$L$20=A206,1,0)</f>
        <v>0</v>
      </c>
      <c r="M206">
        <f>IF('Perso Reloaded'!$L$21=A206,1,0)</f>
        <v>0</v>
      </c>
      <c r="N206">
        <f>IF('Perso Reloaded'!$L$22=A206,1,0)</f>
        <v>0</v>
      </c>
      <c r="O206">
        <f>IF('Perso Reloaded'!$L$23=A206,1,0)</f>
        <v>0</v>
      </c>
      <c r="P206">
        <f>IF('Perso Reloaded'!$L$24=A206,1,0)</f>
        <v>0</v>
      </c>
      <c r="Q206">
        <f>IF('Perso Reloaded'!$L$25=A206,1,0)</f>
        <v>0</v>
      </c>
      <c r="R206">
        <f>IF('Perso Reloaded'!$L$26=A206,1,0)</f>
        <v>0</v>
      </c>
      <c r="S206">
        <f>IF('Perso Reloaded'!$L$27=A206,1,0)</f>
        <v>0</v>
      </c>
      <c r="T206">
        <f t="shared" si="9"/>
        <v>0</v>
      </c>
      <c r="U206" t="b">
        <f t="shared" si="10"/>
        <v>0</v>
      </c>
    </row>
    <row r="207" spans="1:21" x14ac:dyDescent="0.3">
      <c r="A207" s="67" t="s">
        <v>3545</v>
      </c>
      <c r="B207">
        <f>IF(AtoutsHandicapsMatos!$C$5=A207,1,0)</f>
        <v>0</v>
      </c>
      <c r="C207">
        <f>IF(AtoutsHandicapsMatos!$C$6=A207,1,0)</f>
        <v>0</v>
      </c>
      <c r="D207">
        <f>IF(AtoutsHandicapsMatos!$C$7=A207,1,0)</f>
        <v>0</v>
      </c>
      <c r="E207">
        <f>IF(AtoutsHandicapsMatos!$C$8=A207,1,0)</f>
        <v>0</v>
      </c>
      <c r="F207">
        <f>IF(AtoutsHandicapsMatos!$C$9=A207,1,0)</f>
        <v>0</v>
      </c>
      <c r="G207">
        <f>IF(AtoutsHandicapsMatos!$C$10=A207,1,0)</f>
        <v>0</v>
      </c>
      <c r="H207">
        <f>IF(AtoutsHandicapsMatos!$C$11=A207,1,0)</f>
        <v>0</v>
      </c>
      <c r="I207">
        <f>IF(AtoutsHandicapsMatos!$C$12=A207,1,0)</f>
        <v>0</v>
      </c>
      <c r="J207">
        <f>IF(AtoutsHandicapsMatos!$C$13=A207,1,0)</f>
        <v>0</v>
      </c>
      <c r="K207">
        <f>IF(AtoutsHandicapsMatos!$C$14=A207,1,0)</f>
        <v>0</v>
      </c>
      <c r="L207">
        <f>IF('Perso Reloaded'!$L$20=A207,1,0)</f>
        <v>0</v>
      </c>
      <c r="M207">
        <f>IF('Perso Reloaded'!$L$21=A207,1,0)</f>
        <v>0</v>
      </c>
      <c r="N207">
        <f>IF('Perso Reloaded'!$L$22=A207,1,0)</f>
        <v>0</v>
      </c>
      <c r="O207">
        <f>IF('Perso Reloaded'!$L$23=A207,1,0)</f>
        <v>0</v>
      </c>
      <c r="P207">
        <f>IF('Perso Reloaded'!$L$24=A207,1,0)</f>
        <v>0</v>
      </c>
      <c r="Q207">
        <f>IF('Perso Reloaded'!$L$25=A207,1,0)</f>
        <v>0</v>
      </c>
      <c r="R207">
        <f>IF('Perso Reloaded'!$L$26=A207,1,0)</f>
        <v>0</v>
      </c>
      <c r="S207">
        <f>IF('Perso Reloaded'!$L$27=A207,1,0)</f>
        <v>0</v>
      </c>
      <c r="T207">
        <f t="shared" si="9"/>
        <v>0</v>
      </c>
      <c r="U207" t="b">
        <f t="shared" si="10"/>
        <v>0</v>
      </c>
    </row>
    <row r="208" spans="1:21" x14ac:dyDescent="0.3">
      <c r="A208" s="67" t="s">
        <v>3364</v>
      </c>
      <c r="B208">
        <f>IF(AtoutsHandicapsMatos!$C$5=A208,1,0)</f>
        <v>0</v>
      </c>
      <c r="C208">
        <f>IF(AtoutsHandicapsMatos!$C$6=A208,1,0)</f>
        <v>0</v>
      </c>
      <c r="D208">
        <f>IF(AtoutsHandicapsMatos!$C$7=A208,1,0)</f>
        <v>0</v>
      </c>
      <c r="E208">
        <f>IF(AtoutsHandicapsMatos!$C$8=A208,1,0)</f>
        <v>0</v>
      </c>
      <c r="F208">
        <f>IF(AtoutsHandicapsMatos!$C$9=A208,1,0)</f>
        <v>0</v>
      </c>
      <c r="G208">
        <f>IF(AtoutsHandicapsMatos!$C$10=A208,1,0)</f>
        <v>0</v>
      </c>
      <c r="H208">
        <f>IF(AtoutsHandicapsMatos!$C$11=A208,1,0)</f>
        <v>0</v>
      </c>
      <c r="I208">
        <f>IF(AtoutsHandicapsMatos!$C$12=A208,1,0)</f>
        <v>0</v>
      </c>
      <c r="J208">
        <f>IF(AtoutsHandicapsMatos!$C$13=A208,1,0)</f>
        <v>0</v>
      </c>
      <c r="K208">
        <f>IF(AtoutsHandicapsMatos!$C$14=A208,1,0)</f>
        <v>0</v>
      </c>
      <c r="L208">
        <f>IF('Perso Reloaded'!$L$20=A208,1,0)</f>
        <v>0</v>
      </c>
      <c r="M208">
        <f>IF('Perso Reloaded'!$L$21=A208,1,0)</f>
        <v>0</v>
      </c>
      <c r="N208">
        <f>IF('Perso Reloaded'!$L$22=A208,1,0)</f>
        <v>0</v>
      </c>
      <c r="O208">
        <f>IF('Perso Reloaded'!$L$23=A208,1,0)</f>
        <v>0</v>
      </c>
      <c r="P208">
        <f>IF('Perso Reloaded'!$L$24=A208,1,0)</f>
        <v>0</v>
      </c>
      <c r="Q208">
        <f>IF('Perso Reloaded'!$L$25=A208,1,0)</f>
        <v>0</v>
      </c>
      <c r="R208">
        <f>IF('Perso Reloaded'!$L$26=A208,1,0)</f>
        <v>0</v>
      </c>
      <c r="S208">
        <f>IF('Perso Reloaded'!$L$27=A208,1,0)</f>
        <v>0</v>
      </c>
      <c r="T208">
        <f t="shared" si="9"/>
        <v>0</v>
      </c>
      <c r="U208" t="b">
        <f t="shared" si="10"/>
        <v>0</v>
      </c>
    </row>
    <row r="209" spans="1:21" x14ac:dyDescent="0.3">
      <c r="A209" s="67" t="s">
        <v>3500</v>
      </c>
      <c r="B209">
        <f>IF(AtoutsHandicapsMatos!$C$5=A209,1,0)</f>
        <v>0</v>
      </c>
      <c r="C209">
        <f>IF(AtoutsHandicapsMatos!$C$6=A209,1,0)</f>
        <v>0</v>
      </c>
      <c r="D209">
        <f>IF(AtoutsHandicapsMatos!$C$7=A209,1,0)</f>
        <v>0</v>
      </c>
      <c r="E209">
        <f>IF(AtoutsHandicapsMatos!$C$8=A209,1,0)</f>
        <v>0</v>
      </c>
      <c r="F209">
        <f>IF(AtoutsHandicapsMatos!$C$9=A209,1,0)</f>
        <v>0</v>
      </c>
      <c r="G209">
        <f>IF(AtoutsHandicapsMatos!$C$10=A209,1,0)</f>
        <v>0</v>
      </c>
      <c r="H209">
        <f>IF(AtoutsHandicapsMatos!$C$11=A209,1,0)</f>
        <v>0</v>
      </c>
      <c r="I209">
        <f>IF(AtoutsHandicapsMatos!$C$12=A209,1,0)</f>
        <v>0</v>
      </c>
      <c r="J209">
        <f>IF(AtoutsHandicapsMatos!$C$13=A209,1,0)</f>
        <v>0</v>
      </c>
      <c r="K209">
        <f>IF(AtoutsHandicapsMatos!$C$14=A209,1,0)</f>
        <v>0</v>
      </c>
      <c r="L209">
        <f>IF('Perso Reloaded'!$L$20=A209,1,0)</f>
        <v>0</v>
      </c>
      <c r="M209">
        <f>IF('Perso Reloaded'!$L$21=A209,1,0)</f>
        <v>0</v>
      </c>
      <c r="N209">
        <f>IF('Perso Reloaded'!$L$22=A209,1,0)</f>
        <v>0</v>
      </c>
      <c r="O209">
        <f>IF('Perso Reloaded'!$L$23=A209,1,0)</f>
        <v>0</v>
      </c>
      <c r="P209">
        <f>IF('Perso Reloaded'!$L$24=A209,1,0)</f>
        <v>0</v>
      </c>
      <c r="Q209">
        <f>IF('Perso Reloaded'!$L$25=A209,1,0)</f>
        <v>0</v>
      </c>
      <c r="R209">
        <f>IF('Perso Reloaded'!$L$26=A209,1,0)</f>
        <v>0</v>
      </c>
      <c r="S209">
        <f>IF('Perso Reloaded'!$L$27=A209,1,0)</f>
        <v>0</v>
      </c>
      <c r="T209">
        <f t="shared" si="9"/>
        <v>0</v>
      </c>
      <c r="U209" t="b">
        <f t="shared" si="10"/>
        <v>0</v>
      </c>
    </row>
    <row r="210" spans="1:21" x14ac:dyDescent="0.3">
      <c r="A210" s="65" t="s">
        <v>1056</v>
      </c>
      <c r="B210">
        <f>IF(AtoutsHandicapsMatos!$C$5=A210,1,0)</f>
        <v>0</v>
      </c>
      <c r="C210">
        <f>IF(AtoutsHandicapsMatos!$C$6=A210,1,0)</f>
        <v>0</v>
      </c>
      <c r="D210">
        <f>IF(AtoutsHandicapsMatos!$C$7=A210,1,0)</f>
        <v>0</v>
      </c>
      <c r="E210">
        <f>IF(AtoutsHandicapsMatos!$C$8=A210,1,0)</f>
        <v>0</v>
      </c>
      <c r="F210">
        <f>IF(AtoutsHandicapsMatos!$C$9=A210,1,0)</f>
        <v>0</v>
      </c>
      <c r="G210">
        <f>IF(AtoutsHandicapsMatos!$C$10=A210,1,0)</f>
        <v>0</v>
      </c>
      <c r="H210">
        <f>IF(AtoutsHandicapsMatos!$C$11=A210,1,0)</f>
        <v>0</v>
      </c>
      <c r="I210">
        <f>IF(AtoutsHandicapsMatos!$C$12=A210,1,0)</f>
        <v>0</v>
      </c>
      <c r="J210">
        <f>IF(AtoutsHandicapsMatos!$C$13=A210,1,0)</f>
        <v>0</v>
      </c>
      <c r="K210">
        <f>IF(AtoutsHandicapsMatos!$C$14=A210,1,0)</f>
        <v>0</v>
      </c>
      <c r="L210">
        <f>IF('Perso Reloaded'!$L$20=A210,1,0)</f>
        <v>0</v>
      </c>
      <c r="M210">
        <f>IF('Perso Reloaded'!$L$21=A210,1,0)</f>
        <v>0</v>
      </c>
      <c r="N210">
        <f>IF('Perso Reloaded'!$L$22=A210,1,0)</f>
        <v>0</v>
      </c>
      <c r="O210">
        <f>IF('Perso Reloaded'!$L$23=A210,1,0)</f>
        <v>0</v>
      </c>
      <c r="P210">
        <f>IF('Perso Reloaded'!$L$24=A210,1,0)</f>
        <v>0</v>
      </c>
      <c r="Q210">
        <f>IF('Perso Reloaded'!$L$25=A210,1,0)</f>
        <v>0</v>
      </c>
      <c r="R210">
        <f>IF('Perso Reloaded'!$L$26=A210,1,0)</f>
        <v>0</v>
      </c>
      <c r="S210">
        <f>IF('Perso Reloaded'!$L$27=A210,1,0)</f>
        <v>0</v>
      </c>
      <c r="T210">
        <f t="shared" si="9"/>
        <v>0</v>
      </c>
      <c r="U210" t="b">
        <f t="shared" si="10"/>
        <v>0</v>
      </c>
    </row>
    <row r="211" spans="1:21" x14ac:dyDescent="0.3">
      <c r="A211" s="65" t="s">
        <v>1058</v>
      </c>
      <c r="B211">
        <f>IF(AtoutsHandicapsMatos!$C$5=A211,1,0)</f>
        <v>0</v>
      </c>
      <c r="C211">
        <f>IF(AtoutsHandicapsMatos!$C$6=A211,1,0)</f>
        <v>0</v>
      </c>
      <c r="D211">
        <f>IF(AtoutsHandicapsMatos!$C$7=A211,1,0)</f>
        <v>0</v>
      </c>
      <c r="E211">
        <f>IF(AtoutsHandicapsMatos!$C$8=A211,1,0)</f>
        <v>0</v>
      </c>
      <c r="F211">
        <f>IF(AtoutsHandicapsMatos!$C$9=A211,1,0)</f>
        <v>0</v>
      </c>
      <c r="G211">
        <f>IF(AtoutsHandicapsMatos!$C$10=A211,1,0)</f>
        <v>0</v>
      </c>
      <c r="H211">
        <f>IF(AtoutsHandicapsMatos!$C$11=A211,1,0)</f>
        <v>0</v>
      </c>
      <c r="I211">
        <f>IF(AtoutsHandicapsMatos!$C$12=A211,1,0)</f>
        <v>0</v>
      </c>
      <c r="J211">
        <f>IF(AtoutsHandicapsMatos!$C$13=A211,1,0)</f>
        <v>0</v>
      </c>
      <c r="K211">
        <f>IF(AtoutsHandicapsMatos!$C$14=A211,1,0)</f>
        <v>0</v>
      </c>
      <c r="L211">
        <f>IF('Perso Reloaded'!$L$20=A211,1,0)</f>
        <v>0</v>
      </c>
      <c r="M211">
        <f>IF('Perso Reloaded'!$L$21=A211,1,0)</f>
        <v>0</v>
      </c>
      <c r="N211">
        <f>IF('Perso Reloaded'!$L$22=A211,1,0)</f>
        <v>0</v>
      </c>
      <c r="O211">
        <f>IF('Perso Reloaded'!$L$23=A211,1,0)</f>
        <v>0</v>
      </c>
      <c r="P211">
        <f>IF('Perso Reloaded'!$L$24=A211,1,0)</f>
        <v>0</v>
      </c>
      <c r="Q211">
        <f>IF('Perso Reloaded'!$L$25=A211,1,0)</f>
        <v>0</v>
      </c>
      <c r="R211">
        <f>IF('Perso Reloaded'!$L$26=A211,1,0)</f>
        <v>0</v>
      </c>
      <c r="S211">
        <f>IF('Perso Reloaded'!$L$27=A211,1,0)</f>
        <v>0</v>
      </c>
      <c r="T211">
        <f t="shared" si="9"/>
        <v>0</v>
      </c>
      <c r="U211" t="b">
        <f t="shared" si="10"/>
        <v>0</v>
      </c>
    </row>
    <row r="212" spans="1:21" x14ac:dyDescent="0.3">
      <c r="A212" s="65" t="s">
        <v>1060</v>
      </c>
      <c r="B212">
        <f>IF(AtoutsHandicapsMatos!$C$5=A212,1,0)</f>
        <v>0</v>
      </c>
      <c r="C212">
        <f>IF(AtoutsHandicapsMatos!$C$6=A212,1,0)</f>
        <v>0</v>
      </c>
      <c r="D212">
        <f>IF(AtoutsHandicapsMatos!$C$7=A212,1,0)</f>
        <v>0</v>
      </c>
      <c r="E212">
        <f>IF(AtoutsHandicapsMatos!$C$8=A212,1,0)</f>
        <v>0</v>
      </c>
      <c r="F212">
        <f>IF(AtoutsHandicapsMatos!$C$9=A212,1,0)</f>
        <v>0</v>
      </c>
      <c r="G212">
        <f>IF(AtoutsHandicapsMatos!$C$10=A212,1,0)</f>
        <v>0</v>
      </c>
      <c r="H212">
        <f>IF(AtoutsHandicapsMatos!$C$11=A212,1,0)</f>
        <v>0</v>
      </c>
      <c r="I212">
        <f>IF(AtoutsHandicapsMatos!$C$12=A212,1,0)</f>
        <v>0</v>
      </c>
      <c r="J212">
        <f>IF(AtoutsHandicapsMatos!$C$13=A212,1,0)</f>
        <v>0</v>
      </c>
      <c r="K212">
        <f>IF(AtoutsHandicapsMatos!$C$14=A212,1,0)</f>
        <v>0</v>
      </c>
      <c r="L212">
        <f>IF('Perso Reloaded'!$L$20=A212,1,0)</f>
        <v>0</v>
      </c>
      <c r="M212">
        <f>IF('Perso Reloaded'!$L$21=A212,1,0)</f>
        <v>0</v>
      </c>
      <c r="N212">
        <f>IF('Perso Reloaded'!$L$22=A212,1,0)</f>
        <v>0</v>
      </c>
      <c r="O212">
        <f>IF('Perso Reloaded'!$L$23=A212,1,0)</f>
        <v>0</v>
      </c>
      <c r="P212">
        <f>IF('Perso Reloaded'!$L$24=A212,1,0)</f>
        <v>0</v>
      </c>
      <c r="Q212">
        <f>IF('Perso Reloaded'!$L$25=A212,1,0)</f>
        <v>0</v>
      </c>
      <c r="R212">
        <f>IF('Perso Reloaded'!$L$26=A212,1,0)</f>
        <v>0</v>
      </c>
      <c r="S212">
        <f>IF('Perso Reloaded'!$L$27=A212,1,0)</f>
        <v>0</v>
      </c>
      <c r="T212">
        <f t="shared" si="9"/>
        <v>0</v>
      </c>
      <c r="U212" t="b">
        <f t="shared" si="10"/>
        <v>0</v>
      </c>
    </row>
    <row r="213" spans="1:21" x14ac:dyDescent="0.3">
      <c r="A213" s="65" t="s">
        <v>3320</v>
      </c>
      <c r="B213">
        <f>IF(AtoutsHandicapsMatos!$C$5=A213,1,0)</f>
        <v>0</v>
      </c>
      <c r="C213">
        <f>IF(AtoutsHandicapsMatos!$C$6=A213,1,0)</f>
        <v>0</v>
      </c>
      <c r="D213">
        <f>IF(AtoutsHandicapsMatos!$C$7=A213,1,0)</f>
        <v>0</v>
      </c>
      <c r="E213">
        <f>IF(AtoutsHandicapsMatos!$C$8=A213,1,0)</f>
        <v>0</v>
      </c>
      <c r="F213">
        <f>IF(AtoutsHandicapsMatos!$C$9=A213,1,0)</f>
        <v>0</v>
      </c>
      <c r="G213">
        <f>IF(AtoutsHandicapsMatos!$C$10=A213,1,0)</f>
        <v>0</v>
      </c>
      <c r="H213">
        <f>IF(AtoutsHandicapsMatos!$C$11=A213,1,0)</f>
        <v>0</v>
      </c>
      <c r="I213">
        <f>IF(AtoutsHandicapsMatos!$C$12=A213,1,0)</f>
        <v>0</v>
      </c>
      <c r="J213">
        <f>IF(AtoutsHandicapsMatos!$C$13=A213,1,0)</f>
        <v>0</v>
      </c>
      <c r="K213">
        <f>IF(AtoutsHandicapsMatos!$C$14=A213,1,0)</f>
        <v>0</v>
      </c>
      <c r="L213">
        <f>IF('Perso Reloaded'!$L$20=A213,1,0)</f>
        <v>0</v>
      </c>
      <c r="M213">
        <f>IF('Perso Reloaded'!$L$21=A213,1,0)</f>
        <v>0</v>
      </c>
      <c r="N213">
        <f>IF('Perso Reloaded'!$L$22=A213,1,0)</f>
        <v>0</v>
      </c>
      <c r="O213">
        <f>IF('Perso Reloaded'!$L$23=A213,1,0)</f>
        <v>0</v>
      </c>
      <c r="P213">
        <f>IF('Perso Reloaded'!$L$24=A213,1,0)</f>
        <v>0</v>
      </c>
      <c r="Q213">
        <f>IF('Perso Reloaded'!$L$25=A213,1,0)</f>
        <v>0</v>
      </c>
      <c r="R213">
        <f>IF('Perso Reloaded'!$L$26=A213,1,0)</f>
        <v>0</v>
      </c>
      <c r="S213">
        <f>IF('Perso Reloaded'!$L$27=A213,1,0)</f>
        <v>0</v>
      </c>
      <c r="T213">
        <f t="shared" si="9"/>
        <v>0</v>
      </c>
      <c r="U213" t="b">
        <f t="shared" si="10"/>
        <v>0</v>
      </c>
    </row>
    <row r="214" spans="1:21" x14ac:dyDescent="0.3">
      <c r="A214" s="65" t="s">
        <v>5168</v>
      </c>
      <c r="B214">
        <f>IF(AtoutsHandicapsMatos!$C$5=A214,1,0)</f>
        <v>0</v>
      </c>
      <c r="C214">
        <f>IF(AtoutsHandicapsMatos!$C$6=A214,1,0)</f>
        <v>0</v>
      </c>
      <c r="D214">
        <f>IF(AtoutsHandicapsMatos!$C$7=A214,1,0)</f>
        <v>0</v>
      </c>
      <c r="E214">
        <f>IF(AtoutsHandicapsMatos!$C$8=A214,1,0)</f>
        <v>0</v>
      </c>
      <c r="F214">
        <f>IF(AtoutsHandicapsMatos!$C$9=A214,1,0)</f>
        <v>0</v>
      </c>
      <c r="G214">
        <f>IF(AtoutsHandicapsMatos!$C$10=A214,1,0)</f>
        <v>0</v>
      </c>
      <c r="H214">
        <f>IF(AtoutsHandicapsMatos!$C$11=A214,1,0)</f>
        <v>0</v>
      </c>
      <c r="I214">
        <f>IF(AtoutsHandicapsMatos!$C$12=A214,1,0)</f>
        <v>0</v>
      </c>
      <c r="J214">
        <f>IF(AtoutsHandicapsMatos!$C$13=A214,1,0)</f>
        <v>0</v>
      </c>
      <c r="K214">
        <f>IF(AtoutsHandicapsMatos!$C$14=A214,1,0)</f>
        <v>0</v>
      </c>
      <c r="L214">
        <f>IF('Perso Reloaded'!$L$20=A214,1,0)</f>
        <v>0</v>
      </c>
      <c r="M214">
        <f>IF('Perso Reloaded'!$L$21=A214,1,0)</f>
        <v>0</v>
      </c>
      <c r="N214">
        <f>IF('Perso Reloaded'!$L$22=A214,1,0)</f>
        <v>0</v>
      </c>
      <c r="O214">
        <f>IF('Perso Reloaded'!$L$23=A214,1,0)</f>
        <v>0</v>
      </c>
      <c r="P214">
        <f>IF('Perso Reloaded'!$L$24=A214,1,0)</f>
        <v>0</v>
      </c>
      <c r="Q214">
        <f>IF('Perso Reloaded'!$L$25=A214,1,0)</f>
        <v>0</v>
      </c>
      <c r="R214">
        <f>IF('Perso Reloaded'!$L$26=A214,1,0)</f>
        <v>0</v>
      </c>
      <c r="S214">
        <f>IF('Perso Reloaded'!$L$27=A214,1,0)</f>
        <v>0</v>
      </c>
      <c r="T214">
        <f t="shared" si="9"/>
        <v>0</v>
      </c>
      <c r="U214" t="b">
        <f t="shared" si="10"/>
        <v>0</v>
      </c>
    </row>
    <row r="215" spans="1:21" x14ac:dyDescent="0.3">
      <c r="A215" s="65" t="s">
        <v>3343</v>
      </c>
      <c r="B215">
        <f>IF(AtoutsHandicapsMatos!$C$5=A215,1,0)</f>
        <v>0</v>
      </c>
      <c r="C215">
        <f>IF(AtoutsHandicapsMatos!$C$6=A215,1,0)</f>
        <v>0</v>
      </c>
      <c r="D215">
        <f>IF(AtoutsHandicapsMatos!$C$7=A215,1,0)</f>
        <v>0</v>
      </c>
      <c r="E215">
        <f>IF(AtoutsHandicapsMatos!$C$8=A215,1,0)</f>
        <v>0</v>
      </c>
      <c r="F215">
        <f>IF(AtoutsHandicapsMatos!$C$9=A215,1,0)</f>
        <v>0</v>
      </c>
      <c r="G215">
        <f>IF(AtoutsHandicapsMatos!$C$10=A215,1,0)</f>
        <v>0</v>
      </c>
      <c r="H215">
        <f>IF(AtoutsHandicapsMatos!$C$11=A215,1,0)</f>
        <v>0</v>
      </c>
      <c r="I215">
        <f>IF(AtoutsHandicapsMatos!$C$12=A215,1,0)</f>
        <v>0</v>
      </c>
      <c r="J215">
        <f>IF(AtoutsHandicapsMatos!$C$13=A215,1,0)</f>
        <v>0</v>
      </c>
      <c r="K215">
        <f>IF(AtoutsHandicapsMatos!$C$14=A215,1,0)</f>
        <v>0</v>
      </c>
      <c r="L215">
        <f>IF('Perso Reloaded'!$L$20=A215,1,0)</f>
        <v>0</v>
      </c>
      <c r="M215">
        <f>IF('Perso Reloaded'!$L$21=A215,1,0)</f>
        <v>0</v>
      </c>
      <c r="N215">
        <f>IF('Perso Reloaded'!$L$22=A215,1,0)</f>
        <v>0</v>
      </c>
      <c r="O215">
        <f>IF('Perso Reloaded'!$L$23=A215,1,0)</f>
        <v>0</v>
      </c>
      <c r="P215">
        <f>IF('Perso Reloaded'!$L$24=A215,1,0)</f>
        <v>0</v>
      </c>
      <c r="Q215">
        <f>IF('Perso Reloaded'!$L$25=A215,1,0)</f>
        <v>0</v>
      </c>
      <c r="R215">
        <f>IF('Perso Reloaded'!$L$26=A215,1,0)</f>
        <v>0</v>
      </c>
      <c r="S215">
        <f>IF('Perso Reloaded'!$L$27=A215,1,0)</f>
        <v>0</v>
      </c>
      <c r="T215">
        <f t="shared" si="9"/>
        <v>0</v>
      </c>
      <c r="U215" t="b">
        <f t="shared" si="10"/>
        <v>0</v>
      </c>
    </row>
    <row r="216" spans="1:21" x14ac:dyDescent="0.3">
      <c r="A216" s="65" t="s">
        <v>3404</v>
      </c>
      <c r="B216">
        <f>IF(AtoutsHandicapsMatos!$C$5=A216,1,0)</f>
        <v>0</v>
      </c>
      <c r="C216">
        <f>IF(AtoutsHandicapsMatos!$C$6=A216,1,0)</f>
        <v>0</v>
      </c>
      <c r="D216">
        <f>IF(AtoutsHandicapsMatos!$C$7=A216,1,0)</f>
        <v>0</v>
      </c>
      <c r="E216">
        <f>IF(AtoutsHandicapsMatos!$C$8=A216,1,0)</f>
        <v>0</v>
      </c>
      <c r="F216">
        <f>IF(AtoutsHandicapsMatos!$C$9=A216,1,0)</f>
        <v>0</v>
      </c>
      <c r="G216">
        <f>IF(AtoutsHandicapsMatos!$C$10=A216,1,0)</f>
        <v>0</v>
      </c>
      <c r="H216">
        <f>IF(AtoutsHandicapsMatos!$C$11=A216,1,0)</f>
        <v>0</v>
      </c>
      <c r="I216">
        <f>IF(AtoutsHandicapsMatos!$C$12=A216,1,0)</f>
        <v>0</v>
      </c>
      <c r="J216">
        <f>IF(AtoutsHandicapsMatos!$C$13=A216,1,0)</f>
        <v>0</v>
      </c>
      <c r="K216">
        <f>IF(AtoutsHandicapsMatos!$C$14=A216,1,0)</f>
        <v>0</v>
      </c>
      <c r="L216">
        <f>IF('Perso Reloaded'!$L$20=A216,1,0)</f>
        <v>0</v>
      </c>
      <c r="M216">
        <f>IF('Perso Reloaded'!$L$21=A216,1,0)</f>
        <v>0</v>
      </c>
      <c r="N216">
        <f>IF('Perso Reloaded'!$L$22=A216,1,0)</f>
        <v>0</v>
      </c>
      <c r="O216">
        <f>IF('Perso Reloaded'!$L$23=A216,1,0)</f>
        <v>0</v>
      </c>
      <c r="P216">
        <f>IF('Perso Reloaded'!$L$24=A216,1,0)</f>
        <v>0</v>
      </c>
      <c r="Q216">
        <f>IF('Perso Reloaded'!$L$25=A216,1,0)</f>
        <v>0</v>
      </c>
      <c r="R216">
        <f>IF('Perso Reloaded'!$L$26=A216,1,0)</f>
        <v>0</v>
      </c>
      <c r="S216">
        <f>IF('Perso Reloaded'!$L$27=A216,1,0)</f>
        <v>0</v>
      </c>
      <c r="T216">
        <f t="shared" si="9"/>
        <v>0</v>
      </c>
      <c r="U216" t="b">
        <f t="shared" si="10"/>
        <v>0</v>
      </c>
    </row>
    <row r="217" spans="1:21" x14ac:dyDescent="0.3">
      <c r="A217" s="65" t="str">
        <f>IF(OR(SexePerso="Féminin",'Perso Reloaded'!$C$6="Féminin"),"Limière de la roche","Limier de la roche")</f>
        <v>Limier de la roche</v>
      </c>
      <c r="B217">
        <f>IF(AtoutsHandicapsMatos!$C$5=A217,1,0)</f>
        <v>0</v>
      </c>
      <c r="C217">
        <f>IF(AtoutsHandicapsMatos!$C$6=A217,1,0)</f>
        <v>0</v>
      </c>
      <c r="D217">
        <f>IF(AtoutsHandicapsMatos!$C$7=A217,1,0)</f>
        <v>0</v>
      </c>
      <c r="E217">
        <f>IF(AtoutsHandicapsMatos!$C$8=A217,1,0)</f>
        <v>0</v>
      </c>
      <c r="F217">
        <f>IF(AtoutsHandicapsMatos!$C$9=A217,1,0)</f>
        <v>0</v>
      </c>
      <c r="G217">
        <f>IF(AtoutsHandicapsMatos!$C$10=A217,1,0)</f>
        <v>0</v>
      </c>
      <c r="H217">
        <f>IF(AtoutsHandicapsMatos!$C$11=A217,1,0)</f>
        <v>0</v>
      </c>
      <c r="I217">
        <f>IF(AtoutsHandicapsMatos!$C$12=A217,1,0)</f>
        <v>0</v>
      </c>
      <c r="J217">
        <f>IF(AtoutsHandicapsMatos!$C$13=A217,1,0)</f>
        <v>0</v>
      </c>
      <c r="K217">
        <f>IF(AtoutsHandicapsMatos!$C$14=A217,1,0)</f>
        <v>0</v>
      </c>
      <c r="L217">
        <f>IF('Perso Reloaded'!$L$20=A217,1,0)</f>
        <v>0</v>
      </c>
      <c r="M217">
        <f>IF('Perso Reloaded'!$L$21=A217,1,0)</f>
        <v>0</v>
      </c>
      <c r="N217">
        <f>IF('Perso Reloaded'!$L$22=A217,1,0)</f>
        <v>0</v>
      </c>
      <c r="O217">
        <f>IF('Perso Reloaded'!$L$23=A217,1,0)</f>
        <v>0</v>
      </c>
      <c r="P217">
        <f>IF('Perso Reloaded'!$L$24=A217,1,0)</f>
        <v>0</v>
      </c>
      <c r="Q217">
        <f>IF('Perso Reloaded'!$L$25=A217,1,0)</f>
        <v>0</v>
      </c>
      <c r="R217">
        <f>IF('Perso Reloaded'!$L$26=A217,1,0)</f>
        <v>0</v>
      </c>
      <c r="S217">
        <f>IF('Perso Reloaded'!$L$27=A217,1,0)</f>
        <v>0</v>
      </c>
      <c r="T217">
        <f t="shared" si="9"/>
        <v>0</v>
      </c>
      <c r="U217" t="b">
        <f t="shared" si="10"/>
        <v>0</v>
      </c>
    </row>
    <row r="218" spans="1:21" x14ac:dyDescent="0.3">
      <c r="A218" s="65" t="s">
        <v>5174</v>
      </c>
      <c r="B218">
        <f>IF(AtoutsHandicapsMatos!$C$5=A218,1,0)</f>
        <v>0</v>
      </c>
      <c r="C218">
        <f>IF(AtoutsHandicapsMatos!$C$6=A218,1,0)</f>
        <v>0</v>
      </c>
      <c r="D218">
        <f>IF(AtoutsHandicapsMatos!$C$7=A218,1,0)</f>
        <v>0</v>
      </c>
      <c r="E218">
        <f>IF(AtoutsHandicapsMatos!$C$8=A218,1,0)</f>
        <v>0</v>
      </c>
      <c r="F218">
        <f>IF(AtoutsHandicapsMatos!$C$9=A218,1,0)</f>
        <v>0</v>
      </c>
      <c r="G218">
        <f>IF(AtoutsHandicapsMatos!$C$10=A218,1,0)</f>
        <v>0</v>
      </c>
      <c r="H218">
        <f>IF(AtoutsHandicapsMatos!$C$11=A218,1,0)</f>
        <v>0</v>
      </c>
      <c r="I218">
        <f>IF(AtoutsHandicapsMatos!$C$12=A218,1,0)</f>
        <v>0</v>
      </c>
      <c r="J218">
        <f>IF(AtoutsHandicapsMatos!$C$13=A218,1,0)</f>
        <v>0</v>
      </c>
      <c r="K218">
        <f>IF(AtoutsHandicapsMatos!$C$14=A218,1,0)</f>
        <v>0</v>
      </c>
      <c r="L218">
        <f>IF('Perso Reloaded'!$L$20=A218,1,0)</f>
        <v>0</v>
      </c>
      <c r="M218">
        <f>IF('Perso Reloaded'!$L$21=A218,1,0)</f>
        <v>0</v>
      </c>
      <c r="N218">
        <f>IF('Perso Reloaded'!$L$22=A218,1,0)</f>
        <v>0</v>
      </c>
      <c r="O218">
        <f>IF('Perso Reloaded'!$L$23=A218,1,0)</f>
        <v>0</v>
      </c>
      <c r="P218">
        <f>IF('Perso Reloaded'!$L$24=A218,1,0)</f>
        <v>0</v>
      </c>
      <c r="Q218">
        <f>IF('Perso Reloaded'!$L$25=A218,1,0)</f>
        <v>0</v>
      </c>
      <c r="R218">
        <f>IF('Perso Reloaded'!$L$26=A218,1,0)</f>
        <v>0</v>
      </c>
      <c r="S218">
        <f>IF('Perso Reloaded'!$L$27=A218,1,0)</f>
        <v>0</v>
      </c>
      <c r="T218">
        <f t="shared" si="9"/>
        <v>0</v>
      </c>
      <c r="U218" t="b">
        <f t="shared" si="10"/>
        <v>0</v>
      </c>
    </row>
    <row r="219" spans="1:21" x14ac:dyDescent="0.3">
      <c r="A219" s="65" t="s">
        <v>3472</v>
      </c>
      <c r="B219">
        <f>IF(AtoutsHandicapsMatos!$C$5=A219,1,0)</f>
        <v>0</v>
      </c>
      <c r="C219">
        <f>IF(AtoutsHandicapsMatos!$C$6=A219,1,0)</f>
        <v>0</v>
      </c>
      <c r="D219">
        <f>IF(AtoutsHandicapsMatos!$C$7=A219,1,0)</f>
        <v>0</v>
      </c>
      <c r="E219">
        <f>IF(AtoutsHandicapsMatos!$C$8=A219,1,0)</f>
        <v>0</v>
      </c>
      <c r="F219">
        <f>IF(AtoutsHandicapsMatos!$C$9=A219,1,0)</f>
        <v>0</v>
      </c>
      <c r="G219">
        <f>IF(AtoutsHandicapsMatos!$C$10=A219,1,0)</f>
        <v>0</v>
      </c>
      <c r="H219">
        <f>IF(AtoutsHandicapsMatos!$C$11=A219,1,0)</f>
        <v>0</v>
      </c>
      <c r="I219">
        <f>IF(AtoutsHandicapsMatos!$C$12=A219,1,0)</f>
        <v>0</v>
      </c>
      <c r="J219">
        <f>IF(AtoutsHandicapsMatos!$C$13=A219,1,0)</f>
        <v>0</v>
      </c>
      <c r="K219">
        <f>IF(AtoutsHandicapsMatos!$C$14=A219,1,0)</f>
        <v>0</v>
      </c>
      <c r="L219">
        <f>IF('Perso Reloaded'!$L$20=A219,1,0)</f>
        <v>0</v>
      </c>
      <c r="M219">
        <f>IF('Perso Reloaded'!$L$21=A219,1,0)</f>
        <v>0</v>
      </c>
      <c r="N219">
        <f>IF('Perso Reloaded'!$L$22=A219,1,0)</f>
        <v>0</v>
      </c>
      <c r="O219">
        <f>IF('Perso Reloaded'!$L$23=A219,1,0)</f>
        <v>0</v>
      </c>
      <c r="P219">
        <f>IF('Perso Reloaded'!$L$24=A219,1,0)</f>
        <v>0</v>
      </c>
      <c r="Q219">
        <f>IF('Perso Reloaded'!$L$25=A219,1,0)</f>
        <v>0</v>
      </c>
      <c r="R219">
        <f>IF('Perso Reloaded'!$L$26=A219,1,0)</f>
        <v>0</v>
      </c>
      <c r="S219">
        <f>IF('Perso Reloaded'!$L$27=A219,1,0)</f>
        <v>0</v>
      </c>
      <c r="T219">
        <f t="shared" si="9"/>
        <v>0</v>
      </c>
      <c r="U219" t="b">
        <f t="shared" si="10"/>
        <v>0</v>
      </c>
    </row>
    <row r="220" spans="1:21" x14ac:dyDescent="0.3">
      <c r="A220" s="65" t="s">
        <v>3374</v>
      </c>
      <c r="B220">
        <f>IF(AtoutsHandicapsMatos!$C$5=A220,1,0)</f>
        <v>0</v>
      </c>
      <c r="C220">
        <f>IF(AtoutsHandicapsMatos!$C$6=A220,1,0)</f>
        <v>0</v>
      </c>
      <c r="D220">
        <f>IF(AtoutsHandicapsMatos!$C$7=A220,1,0)</f>
        <v>0</v>
      </c>
      <c r="E220">
        <f>IF(AtoutsHandicapsMatos!$C$8=A220,1,0)</f>
        <v>0</v>
      </c>
      <c r="F220">
        <f>IF(AtoutsHandicapsMatos!$C$9=A220,1,0)</f>
        <v>0</v>
      </c>
      <c r="G220">
        <f>IF(AtoutsHandicapsMatos!$C$10=A220,1,0)</f>
        <v>0</v>
      </c>
      <c r="H220">
        <f>IF(AtoutsHandicapsMatos!$C$11=A220,1,0)</f>
        <v>0</v>
      </c>
      <c r="I220">
        <f>IF(AtoutsHandicapsMatos!$C$12=A220,1,0)</f>
        <v>0</v>
      </c>
      <c r="J220">
        <f>IF(AtoutsHandicapsMatos!$C$13=A220,1,0)</f>
        <v>0</v>
      </c>
      <c r="K220">
        <f>IF(AtoutsHandicapsMatos!$C$14=A220,1,0)</f>
        <v>0</v>
      </c>
      <c r="L220">
        <f>IF('Perso Reloaded'!$L$20=A220,1,0)</f>
        <v>0</v>
      </c>
      <c r="M220">
        <f>IF('Perso Reloaded'!$L$21=A220,1,0)</f>
        <v>0</v>
      </c>
      <c r="N220">
        <f>IF('Perso Reloaded'!$L$22=A220,1,0)</f>
        <v>0</v>
      </c>
      <c r="O220">
        <f>IF('Perso Reloaded'!$L$23=A220,1,0)</f>
        <v>0</v>
      </c>
      <c r="P220">
        <f>IF('Perso Reloaded'!$L$24=A220,1,0)</f>
        <v>0</v>
      </c>
      <c r="Q220">
        <f>IF('Perso Reloaded'!$L$25=A220,1,0)</f>
        <v>0</v>
      </c>
      <c r="R220">
        <f>IF('Perso Reloaded'!$L$26=A220,1,0)</f>
        <v>0</v>
      </c>
      <c r="S220">
        <f>IF('Perso Reloaded'!$L$27=A220,1,0)</f>
        <v>0</v>
      </c>
      <c r="T220">
        <f t="shared" si="9"/>
        <v>0</v>
      </c>
      <c r="U220" t="b">
        <f t="shared" si="10"/>
        <v>0</v>
      </c>
    </row>
    <row r="221" spans="1:21" x14ac:dyDescent="0.3">
      <c r="A221" s="65" t="s">
        <v>5175</v>
      </c>
      <c r="B221">
        <f>IF(AtoutsHandicapsMatos!$C$5=A221,1,0)</f>
        <v>0</v>
      </c>
      <c r="C221">
        <f>IF(AtoutsHandicapsMatos!$C$6=A221,1,0)</f>
        <v>0</v>
      </c>
      <c r="D221">
        <f>IF(AtoutsHandicapsMatos!$C$7=A221,1,0)</f>
        <v>0</v>
      </c>
      <c r="E221">
        <f>IF(AtoutsHandicapsMatos!$C$8=A221,1,0)</f>
        <v>0</v>
      </c>
      <c r="F221">
        <f>IF(AtoutsHandicapsMatos!$C$9=A221,1,0)</f>
        <v>0</v>
      </c>
      <c r="G221">
        <f>IF(AtoutsHandicapsMatos!$C$10=A221,1,0)</f>
        <v>0</v>
      </c>
      <c r="H221">
        <f>IF(AtoutsHandicapsMatos!$C$11=A221,1,0)</f>
        <v>0</v>
      </c>
      <c r="I221">
        <f>IF(AtoutsHandicapsMatos!$C$12=A221,1,0)</f>
        <v>0</v>
      </c>
      <c r="J221">
        <f>IF(AtoutsHandicapsMatos!$C$13=A221,1,0)</f>
        <v>0</v>
      </c>
      <c r="K221">
        <f>IF(AtoutsHandicapsMatos!$C$14=A221,1,0)</f>
        <v>0</v>
      </c>
      <c r="L221">
        <f>IF('Perso Reloaded'!$L$20=A221,1,0)</f>
        <v>0</v>
      </c>
      <c r="M221">
        <f>IF('Perso Reloaded'!$L$21=A221,1,0)</f>
        <v>0</v>
      </c>
      <c r="N221">
        <f>IF('Perso Reloaded'!$L$22=A221,1,0)</f>
        <v>0</v>
      </c>
      <c r="O221">
        <f>IF('Perso Reloaded'!$L$23=A221,1,0)</f>
        <v>0</v>
      </c>
      <c r="P221">
        <f>IF('Perso Reloaded'!$L$24=A221,1,0)</f>
        <v>0</v>
      </c>
      <c r="Q221">
        <f>IF('Perso Reloaded'!$L$25=A221,1,0)</f>
        <v>0</v>
      </c>
      <c r="R221">
        <f>IF('Perso Reloaded'!$L$26=A221,1,0)</f>
        <v>0</v>
      </c>
      <c r="S221">
        <f>IF('Perso Reloaded'!$L$27=A221,1,0)</f>
        <v>0</v>
      </c>
      <c r="T221">
        <f t="shared" si="9"/>
        <v>0</v>
      </c>
      <c r="U221" t="b">
        <f t="shared" si="10"/>
        <v>0</v>
      </c>
    </row>
    <row r="222" spans="1:21" x14ac:dyDescent="0.3">
      <c r="A222" s="65" t="s">
        <v>3386</v>
      </c>
      <c r="B222">
        <f>IF(AtoutsHandicapsMatos!$C$5=A222,1,0)</f>
        <v>0</v>
      </c>
      <c r="C222">
        <f>IF(AtoutsHandicapsMatos!$C$6=A222,1,0)</f>
        <v>0</v>
      </c>
      <c r="D222">
        <f>IF(AtoutsHandicapsMatos!$C$7=A222,1,0)</f>
        <v>0</v>
      </c>
      <c r="E222">
        <f>IF(AtoutsHandicapsMatos!$C$8=A222,1,0)</f>
        <v>0</v>
      </c>
      <c r="F222">
        <f>IF(AtoutsHandicapsMatos!$C$9=A222,1,0)</f>
        <v>0</v>
      </c>
      <c r="G222">
        <f>IF(AtoutsHandicapsMatos!$C$10=A222,1,0)</f>
        <v>0</v>
      </c>
      <c r="H222">
        <f>IF(AtoutsHandicapsMatos!$C$11=A222,1,0)</f>
        <v>0</v>
      </c>
      <c r="I222">
        <f>IF(AtoutsHandicapsMatos!$C$12=A222,1,0)</f>
        <v>0</v>
      </c>
      <c r="J222">
        <f>IF(AtoutsHandicapsMatos!$C$13=A222,1,0)</f>
        <v>0</v>
      </c>
      <c r="K222">
        <f>IF(AtoutsHandicapsMatos!$C$14=A222,1,0)</f>
        <v>0</v>
      </c>
      <c r="L222">
        <f>IF('Perso Reloaded'!$L$20=A222,1,0)</f>
        <v>0</v>
      </c>
      <c r="M222">
        <f>IF('Perso Reloaded'!$L$21=A222,1,0)</f>
        <v>0</v>
      </c>
      <c r="N222">
        <f>IF('Perso Reloaded'!$L$22=A222,1,0)</f>
        <v>0</v>
      </c>
      <c r="O222">
        <f>IF('Perso Reloaded'!$L$23=A222,1,0)</f>
        <v>0</v>
      </c>
      <c r="P222">
        <f>IF('Perso Reloaded'!$L$24=A222,1,0)</f>
        <v>0</v>
      </c>
      <c r="Q222">
        <f>IF('Perso Reloaded'!$L$25=A222,1,0)</f>
        <v>0</v>
      </c>
      <c r="R222">
        <f>IF('Perso Reloaded'!$L$26=A222,1,0)</f>
        <v>0</v>
      </c>
      <c r="S222">
        <f>IF('Perso Reloaded'!$L$27=A222,1,0)</f>
        <v>0</v>
      </c>
      <c r="T222">
        <f t="shared" si="9"/>
        <v>0</v>
      </c>
      <c r="U222" t="b">
        <f t="shared" si="10"/>
        <v>0</v>
      </c>
    </row>
    <row r="223" spans="1:21" x14ac:dyDescent="0.3">
      <c r="A223" s="65" t="s">
        <v>5276</v>
      </c>
      <c r="B223">
        <f>IF(AtoutsHandicapsMatos!$C$5=A223,1,0)</f>
        <v>0</v>
      </c>
      <c r="C223">
        <f>IF(AtoutsHandicapsMatos!$C$6=A223,1,0)</f>
        <v>0</v>
      </c>
      <c r="D223">
        <f>IF(AtoutsHandicapsMatos!$C$7=A223,1,0)</f>
        <v>0</v>
      </c>
      <c r="E223">
        <f>IF(AtoutsHandicapsMatos!$C$8=A223,1,0)</f>
        <v>0</v>
      </c>
      <c r="F223">
        <f>IF(AtoutsHandicapsMatos!$C$9=A223,1,0)</f>
        <v>0</v>
      </c>
      <c r="G223">
        <f>IF(AtoutsHandicapsMatos!$C$10=A223,1,0)</f>
        <v>0</v>
      </c>
      <c r="H223">
        <f>IF(AtoutsHandicapsMatos!$C$11=A223,1,0)</f>
        <v>0</v>
      </c>
      <c r="I223">
        <f>IF(AtoutsHandicapsMatos!$C$12=A223,1,0)</f>
        <v>0</v>
      </c>
      <c r="J223">
        <f>IF(AtoutsHandicapsMatos!$C$13=A223,1,0)</f>
        <v>0</v>
      </c>
      <c r="K223">
        <f>IF(AtoutsHandicapsMatos!$C$14=A223,1,0)</f>
        <v>0</v>
      </c>
      <c r="L223">
        <f>IF('Perso Reloaded'!$L$20=A223,1,0)</f>
        <v>0</v>
      </c>
      <c r="M223">
        <f>IF('Perso Reloaded'!$L$21=A223,1,0)</f>
        <v>0</v>
      </c>
      <c r="N223">
        <f>IF('Perso Reloaded'!$L$22=A223,1,0)</f>
        <v>0</v>
      </c>
      <c r="O223">
        <f>IF('Perso Reloaded'!$L$23=A223,1,0)</f>
        <v>0</v>
      </c>
      <c r="P223">
        <f>IF('Perso Reloaded'!$L$24=A223,1,0)</f>
        <v>0</v>
      </c>
      <c r="Q223">
        <f>IF('Perso Reloaded'!$L$25=A223,1,0)</f>
        <v>0</v>
      </c>
      <c r="R223">
        <f>IF('Perso Reloaded'!$L$26=A223,1,0)</f>
        <v>0</v>
      </c>
      <c r="S223">
        <f>IF('Perso Reloaded'!$L$27=A223,1,0)</f>
        <v>0</v>
      </c>
      <c r="T223">
        <f t="shared" ref="T223:T224" si="11">SUM(B223:S223)</f>
        <v>0</v>
      </c>
      <c r="U223" t="b">
        <f t="shared" si="10"/>
        <v>0</v>
      </c>
    </row>
    <row r="224" spans="1:21" x14ac:dyDescent="0.3">
      <c r="A224" s="65" t="s">
        <v>3376</v>
      </c>
      <c r="B224">
        <f>IF(AtoutsHandicapsMatos!$C$5=A224,1,0)</f>
        <v>0</v>
      </c>
      <c r="C224">
        <f>IF(AtoutsHandicapsMatos!$C$6=A224,1,0)</f>
        <v>0</v>
      </c>
      <c r="D224">
        <f>IF(AtoutsHandicapsMatos!$C$7=A224,1,0)</f>
        <v>0</v>
      </c>
      <c r="E224">
        <f>IF(AtoutsHandicapsMatos!$C$8=A224,1,0)</f>
        <v>0</v>
      </c>
      <c r="F224">
        <f>IF(AtoutsHandicapsMatos!$C$9=A224,1,0)</f>
        <v>0</v>
      </c>
      <c r="G224">
        <f>IF(AtoutsHandicapsMatos!$C$10=A224,1,0)</f>
        <v>0</v>
      </c>
      <c r="H224">
        <f>IF(AtoutsHandicapsMatos!$C$11=A224,1,0)</f>
        <v>0</v>
      </c>
      <c r="I224">
        <f>IF(AtoutsHandicapsMatos!$C$12=A224,1,0)</f>
        <v>0</v>
      </c>
      <c r="J224">
        <f>IF(AtoutsHandicapsMatos!$C$13=A224,1,0)</f>
        <v>0</v>
      </c>
      <c r="K224">
        <f>IF(AtoutsHandicapsMatos!$C$14=A224,1,0)</f>
        <v>0</v>
      </c>
      <c r="L224">
        <f>IF('Perso Reloaded'!$L$20=A224,1,0)</f>
        <v>0</v>
      </c>
      <c r="M224">
        <f>IF('Perso Reloaded'!$L$21=A224,1,0)</f>
        <v>0</v>
      </c>
      <c r="N224">
        <f>IF('Perso Reloaded'!$L$22=A224,1,0)</f>
        <v>0</v>
      </c>
      <c r="O224">
        <f>IF('Perso Reloaded'!$L$23=A224,1,0)</f>
        <v>0</v>
      </c>
      <c r="P224">
        <f>IF('Perso Reloaded'!$L$24=A224,1,0)</f>
        <v>0</v>
      </c>
      <c r="Q224">
        <f>IF('Perso Reloaded'!$L$25=A224,1,0)</f>
        <v>0</v>
      </c>
      <c r="R224">
        <f>IF('Perso Reloaded'!$L$26=A224,1,0)</f>
        <v>0</v>
      </c>
      <c r="S224">
        <f>IF('Perso Reloaded'!$L$27=A224,1,0)</f>
        <v>0</v>
      </c>
      <c r="T224">
        <f t="shared" si="11"/>
        <v>0</v>
      </c>
      <c r="U224" t="b">
        <f t="shared" si="10"/>
        <v>0</v>
      </c>
    </row>
    <row r="225" spans="1:21" x14ac:dyDescent="0.3">
      <c r="A225" s="65" t="s">
        <v>3377</v>
      </c>
      <c r="B225">
        <f>IF(AtoutsHandicapsMatos!$C$5=A225,1,0)</f>
        <v>0</v>
      </c>
      <c r="C225">
        <f>IF(AtoutsHandicapsMatos!$C$6=A225,1,0)</f>
        <v>0</v>
      </c>
      <c r="D225">
        <f>IF(AtoutsHandicapsMatos!$C$7=A225,1,0)</f>
        <v>0</v>
      </c>
      <c r="E225">
        <f>IF(AtoutsHandicapsMatos!$C$8=A225,1,0)</f>
        <v>0</v>
      </c>
      <c r="F225">
        <f>IF(AtoutsHandicapsMatos!$C$9=A225,1,0)</f>
        <v>0</v>
      </c>
      <c r="G225">
        <f>IF(AtoutsHandicapsMatos!$C$10=A225,1,0)</f>
        <v>0</v>
      </c>
      <c r="H225">
        <f>IF(AtoutsHandicapsMatos!$C$11=A225,1,0)</f>
        <v>0</v>
      </c>
      <c r="I225">
        <f>IF(AtoutsHandicapsMatos!$C$12=A225,1,0)</f>
        <v>0</v>
      </c>
      <c r="J225">
        <f>IF(AtoutsHandicapsMatos!$C$13=A225,1,0)</f>
        <v>0</v>
      </c>
      <c r="K225">
        <f>IF(AtoutsHandicapsMatos!$C$14=A225,1,0)</f>
        <v>0</v>
      </c>
      <c r="L225">
        <f>IF('Perso Reloaded'!$L$20=A225,1,0)</f>
        <v>0</v>
      </c>
      <c r="M225">
        <f>IF('Perso Reloaded'!$L$21=A225,1,0)</f>
        <v>0</v>
      </c>
      <c r="N225">
        <f>IF('Perso Reloaded'!$L$22=A225,1,0)</f>
        <v>0</v>
      </c>
      <c r="O225">
        <f>IF('Perso Reloaded'!$L$23=A225,1,0)</f>
        <v>0</v>
      </c>
      <c r="P225">
        <f>IF('Perso Reloaded'!$L$24=A225,1,0)</f>
        <v>0</v>
      </c>
      <c r="Q225">
        <f>IF('Perso Reloaded'!$L$25=A225,1,0)</f>
        <v>0</v>
      </c>
      <c r="R225">
        <f>IF('Perso Reloaded'!$L$26=A225,1,0)</f>
        <v>0</v>
      </c>
      <c r="S225">
        <f>IF('Perso Reloaded'!$L$27=A225,1,0)</f>
        <v>0</v>
      </c>
      <c r="T225">
        <f t="shared" si="9"/>
        <v>0</v>
      </c>
      <c r="U225" t="b">
        <f t="shared" si="10"/>
        <v>0</v>
      </c>
    </row>
    <row r="226" spans="1:21" x14ac:dyDescent="0.3">
      <c r="A226" s="65" t="s">
        <v>3346</v>
      </c>
      <c r="B226">
        <f>IF(AtoutsHandicapsMatos!$C$5=A226,1,0)</f>
        <v>0</v>
      </c>
      <c r="C226">
        <f>IF(AtoutsHandicapsMatos!$C$6=A226,1,0)</f>
        <v>0</v>
      </c>
      <c r="D226">
        <f>IF(AtoutsHandicapsMatos!$C$7=A226,1,0)</f>
        <v>0</v>
      </c>
      <c r="E226">
        <f>IF(AtoutsHandicapsMatos!$C$8=A226,1,0)</f>
        <v>0</v>
      </c>
      <c r="F226">
        <f>IF(AtoutsHandicapsMatos!$C$9=A226,1,0)</f>
        <v>0</v>
      </c>
      <c r="G226">
        <f>IF(AtoutsHandicapsMatos!$C$10=A226,1,0)</f>
        <v>0</v>
      </c>
      <c r="H226">
        <f>IF(AtoutsHandicapsMatos!$C$11=A226,1,0)</f>
        <v>0</v>
      </c>
      <c r="I226">
        <f>IF(AtoutsHandicapsMatos!$C$12=A226,1,0)</f>
        <v>0</v>
      </c>
      <c r="J226">
        <f>IF(AtoutsHandicapsMatos!$C$13=A226,1,0)</f>
        <v>0</v>
      </c>
      <c r="K226">
        <f>IF(AtoutsHandicapsMatos!$C$14=A226,1,0)</f>
        <v>0</v>
      </c>
      <c r="L226">
        <f>IF('Perso Reloaded'!$L$20=A226,1,0)</f>
        <v>0</v>
      </c>
      <c r="M226">
        <f>IF('Perso Reloaded'!$L$21=A226,1,0)</f>
        <v>0</v>
      </c>
      <c r="N226">
        <f>IF('Perso Reloaded'!$L$22=A226,1,0)</f>
        <v>0</v>
      </c>
      <c r="O226">
        <f>IF('Perso Reloaded'!$L$23=A226,1,0)</f>
        <v>0</v>
      </c>
      <c r="P226">
        <f>IF('Perso Reloaded'!$L$24=A226,1,0)</f>
        <v>0</v>
      </c>
      <c r="Q226">
        <f>IF('Perso Reloaded'!$L$25=A226,1,0)</f>
        <v>0</v>
      </c>
      <c r="R226">
        <f>IF('Perso Reloaded'!$L$26=A226,1,0)</f>
        <v>0</v>
      </c>
      <c r="S226">
        <f>IF('Perso Reloaded'!$L$27=A226,1,0)</f>
        <v>0</v>
      </c>
      <c r="T226">
        <f t="shared" si="9"/>
        <v>0</v>
      </c>
      <c r="U226" t="b">
        <f t="shared" si="10"/>
        <v>0</v>
      </c>
    </row>
    <row r="227" spans="1:21" x14ac:dyDescent="0.3">
      <c r="A227" s="65" t="s">
        <v>5176</v>
      </c>
      <c r="B227">
        <f>IF(AtoutsHandicapsMatos!$C$5=A227,1,0)</f>
        <v>0</v>
      </c>
      <c r="C227">
        <f>IF(AtoutsHandicapsMatos!$C$6=A227,1,0)</f>
        <v>0</v>
      </c>
      <c r="D227">
        <f>IF(AtoutsHandicapsMatos!$C$7=A227,1,0)</f>
        <v>0</v>
      </c>
      <c r="E227">
        <f>IF(AtoutsHandicapsMatos!$C$8=A227,1,0)</f>
        <v>0</v>
      </c>
      <c r="F227">
        <f>IF(AtoutsHandicapsMatos!$C$9=A227,1,0)</f>
        <v>0</v>
      </c>
      <c r="G227">
        <f>IF(AtoutsHandicapsMatos!$C$10=A227,1,0)</f>
        <v>0</v>
      </c>
      <c r="H227">
        <f>IF(AtoutsHandicapsMatos!$C$11=A227,1,0)</f>
        <v>0</v>
      </c>
      <c r="I227">
        <f>IF(AtoutsHandicapsMatos!$C$12=A227,1,0)</f>
        <v>0</v>
      </c>
      <c r="J227">
        <f>IF(AtoutsHandicapsMatos!$C$13=A227,1,0)</f>
        <v>0</v>
      </c>
      <c r="K227">
        <f>IF(AtoutsHandicapsMatos!$C$14=A227,1,0)</f>
        <v>0</v>
      </c>
      <c r="L227">
        <f>IF('Perso Reloaded'!$L$20=A227,1,0)</f>
        <v>0</v>
      </c>
      <c r="M227">
        <f>IF('Perso Reloaded'!$L$21=A227,1,0)</f>
        <v>0</v>
      </c>
      <c r="N227">
        <f>IF('Perso Reloaded'!$L$22=A227,1,0)</f>
        <v>0</v>
      </c>
      <c r="O227">
        <f>IF('Perso Reloaded'!$L$23=A227,1,0)</f>
        <v>0</v>
      </c>
      <c r="P227">
        <f>IF('Perso Reloaded'!$L$24=A227,1,0)</f>
        <v>0</v>
      </c>
      <c r="Q227">
        <f>IF('Perso Reloaded'!$L$25=A227,1,0)</f>
        <v>0</v>
      </c>
      <c r="R227">
        <f>IF('Perso Reloaded'!$L$26=A227,1,0)</f>
        <v>0</v>
      </c>
      <c r="S227">
        <f>IF('Perso Reloaded'!$L$27=A227,1,0)</f>
        <v>0</v>
      </c>
      <c r="T227">
        <f t="shared" si="9"/>
        <v>0</v>
      </c>
      <c r="U227" t="b">
        <f t="shared" si="10"/>
        <v>0</v>
      </c>
    </row>
    <row r="228" spans="1:21" x14ac:dyDescent="0.3">
      <c r="A228" s="65" t="s">
        <v>5177</v>
      </c>
      <c r="B228">
        <f>IF(AtoutsHandicapsMatos!$C$5=A228,1,0)</f>
        <v>0</v>
      </c>
      <c r="C228">
        <f>IF(AtoutsHandicapsMatos!$C$6=A228,1,0)</f>
        <v>0</v>
      </c>
      <c r="D228">
        <f>IF(AtoutsHandicapsMatos!$C$7=A228,1,0)</f>
        <v>0</v>
      </c>
      <c r="E228">
        <f>IF(AtoutsHandicapsMatos!$C$8=A228,1,0)</f>
        <v>0</v>
      </c>
      <c r="F228">
        <f>IF(AtoutsHandicapsMatos!$C$9=A228,1,0)</f>
        <v>0</v>
      </c>
      <c r="G228">
        <f>IF(AtoutsHandicapsMatos!$C$10=A228,1,0)</f>
        <v>0</v>
      </c>
      <c r="H228">
        <f>IF(AtoutsHandicapsMatos!$C$11=A228,1,0)</f>
        <v>0</v>
      </c>
      <c r="I228">
        <f>IF(AtoutsHandicapsMatos!$C$12=A228,1,0)</f>
        <v>0</v>
      </c>
      <c r="J228">
        <f>IF(AtoutsHandicapsMatos!$C$13=A228,1,0)</f>
        <v>0</v>
      </c>
      <c r="K228">
        <f>IF(AtoutsHandicapsMatos!$C$14=A228,1,0)</f>
        <v>0</v>
      </c>
      <c r="L228">
        <f>IF('Perso Reloaded'!$L$20=A228,1,0)</f>
        <v>0</v>
      </c>
      <c r="M228">
        <f>IF('Perso Reloaded'!$L$21=A228,1,0)</f>
        <v>0</v>
      </c>
      <c r="N228">
        <f>IF('Perso Reloaded'!$L$22=A228,1,0)</f>
        <v>0</v>
      </c>
      <c r="O228">
        <f>IF('Perso Reloaded'!$L$23=A228,1,0)</f>
        <v>0</v>
      </c>
      <c r="P228">
        <f>IF('Perso Reloaded'!$L$24=A228,1,0)</f>
        <v>0</v>
      </c>
      <c r="Q228">
        <f>IF('Perso Reloaded'!$L$25=A228,1,0)</f>
        <v>0</v>
      </c>
      <c r="R228">
        <f>IF('Perso Reloaded'!$L$26=A228,1,0)</f>
        <v>0</v>
      </c>
      <c r="S228">
        <f>IF('Perso Reloaded'!$L$27=A228,1,0)</f>
        <v>0</v>
      </c>
      <c r="T228">
        <f t="shared" si="9"/>
        <v>0</v>
      </c>
      <c r="U228" t="b">
        <f t="shared" si="10"/>
        <v>0</v>
      </c>
    </row>
    <row r="229" spans="1:21" x14ac:dyDescent="0.3">
      <c r="A229" s="65" t="str">
        <f>IF(OR(SexePerso="Féminin",'Perso Reloaded'!$C$6="Féminin"),"Mecano/Bibouilleuse","Mecano/Bibouilleur")</f>
        <v>Mecano/Bibouilleur</v>
      </c>
      <c r="B229">
        <f>IF(AtoutsHandicapsMatos!$C$5=A229,1,0)</f>
        <v>0</v>
      </c>
      <c r="C229">
        <f>IF(AtoutsHandicapsMatos!$C$6=A229,1,0)</f>
        <v>0</v>
      </c>
      <c r="D229">
        <f>IF(AtoutsHandicapsMatos!$C$7=A229,1,0)</f>
        <v>0</v>
      </c>
      <c r="E229">
        <f>IF(AtoutsHandicapsMatos!$C$8=A229,1,0)</f>
        <v>0</v>
      </c>
      <c r="F229">
        <f>IF(AtoutsHandicapsMatos!$C$9=A229,1,0)</f>
        <v>0</v>
      </c>
      <c r="G229">
        <f>IF(AtoutsHandicapsMatos!$C$10=A229,1,0)</f>
        <v>0</v>
      </c>
      <c r="H229">
        <f>IF(AtoutsHandicapsMatos!$C$11=A229,1,0)</f>
        <v>0</v>
      </c>
      <c r="I229">
        <f>IF(AtoutsHandicapsMatos!$C$12=A229,1,0)</f>
        <v>0</v>
      </c>
      <c r="J229">
        <f>IF(AtoutsHandicapsMatos!$C$13=A229,1,0)</f>
        <v>0</v>
      </c>
      <c r="K229">
        <f>IF(AtoutsHandicapsMatos!$C$14=A229,1,0)</f>
        <v>0</v>
      </c>
      <c r="L229">
        <f>IF('Perso Reloaded'!$L$20=A229,1,0)</f>
        <v>0</v>
      </c>
      <c r="M229">
        <f>IF('Perso Reloaded'!$L$21=A229,1,0)</f>
        <v>0</v>
      </c>
      <c r="N229">
        <f>IF('Perso Reloaded'!$L$22=A229,1,0)</f>
        <v>0</v>
      </c>
      <c r="O229">
        <f>IF('Perso Reloaded'!$L$23=A229,1,0)</f>
        <v>0</v>
      </c>
      <c r="P229">
        <f>IF('Perso Reloaded'!$L$24=A229,1,0)</f>
        <v>0</v>
      </c>
      <c r="Q229">
        <f>IF('Perso Reloaded'!$L$25=A229,1,0)</f>
        <v>0</v>
      </c>
      <c r="R229">
        <f>IF('Perso Reloaded'!$L$26=A229,1,0)</f>
        <v>0</v>
      </c>
      <c r="S229">
        <f>IF('Perso Reloaded'!$L$27=A229,1,0)</f>
        <v>0</v>
      </c>
      <c r="T229">
        <f t="shared" si="9"/>
        <v>0</v>
      </c>
      <c r="U229" t="b">
        <f t="shared" si="10"/>
        <v>0</v>
      </c>
    </row>
    <row r="230" spans="1:21" x14ac:dyDescent="0.3">
      <c r="A230" s="65" t="str">
        <f>IF(OR(SexePerso="Féminin",'Perso Reloaded'!$C$6="Féminin"),"Meneuse d'Hommes","Meneur d'Hommes")</f>
        <v>Meneur d'Hommes</v>
      </c>
      <c r="B230">
        <f>IF(AtoutsHandicapsMatos!$C$5=A230,1,0)</f>
        <v>0</v>
      </c>
      <c r="C230">
        <f>IF(AtoutsHandicapsMatos!$C$6=A230,1,0)</f>
        <v>0</v>
      </c>
      <c r="D230">
        <f>IF(AtoutsHandicapsMatos!$C$7=A230,1,0)</f>
        <v>0</v>
      </c>
      <c r="E230">
        <f>IF(AtoutsHandicapsMatos!$C$8=A230,1,0)</f>
        <v>0</v>
      </c>
      <c r="F230">
        <f>IF(AtoutsHandicapsMatos!$C$9=A230,1,0)</f>
        <v>0</v>
      </c>
      <c r="G230">
        <f>IF(AtoutsHandicapsMatos!$C$10=A230,1,0)</f>
        <v>0</v>
      </c>
      <c r="H230">
        <f>IF(AtoutsHandicapsMatos!$C$11=A230,1,0)</f>
        <v>0</v>
      </c>
      <c r="I230">
        <f>IF(AtoutsHandicapsMatos!$C$12=A230,1,0)</f>
        <v>0</v>
      </c>
      <c r="J230">
        <f>IF(AtoutsHandicapsMatos!$C$13=A230,1,0)</f>
        <v>0</v>
      </c>
      <c r="K230">
        <f>IF(AtoutsHandicapsMatos!$C$14=A230,1,0)</f>
        <v>0</v>
      </c>
      <c r="L230">
        <f>IF('Perso Reloaded'!$L$20=A230,1,0)</f>
        <v>0</v>
      </c>
      <c r="M230">
        <f>IF('Perso Reloaded'!$L$21=A230,1,0)</f>
        <v>0</v>
      </c>
      <c r="N230">
        <f>IF('Perso Reloaded'!$L$22=A230,1,0)</f>
        <v>0</v>
      </c>
      <c r="O230">
        <f>IF('Perso Reloaded'!$L$23=A230,1,0)</f>
        <v>0</v>
      </c>
      <c r="P230">
        <f>IF('Perso Reloaded'!$L$24=A230,1,0)</f>
        <v>0</v>
      </c>
      <c r="Q230">
        <f>IF('Perso Reloaded'!$L$25=A230,1,0)</f>
        <v>0</v>
      </c>
      <c r="R230">
        <f>IF('Perso Reloaded'!$L$26=A230,1,0)</f>
        <v>0</v>
      </c>
      <c r="S230">
        <f>IF('Perso Reloaded'!$L$27=A230,1,0)</f>
        <v>0</v>
      </c>
      <c r="T230">
        <f t="shared" si="9"/>
        <v>0</v>
      </c>
      <c r="U230" t="b">
        <f t="shared" si="10"/>
        <v>0</v>
      </c>
    </row>
    <row r="231" spans="1:21" x14ac:dyDescent="0.3">
      <c r="A231" s="65" t="s">
        <v>270</v>
      </c>
      <c r="B231">
        <f>IF(AtoutsHandicapsMatos!$C$5=A231,1,0)</f>
        <v>0</v>
      </c>
      <c r="C231">
        <f>IF(AtoutsHandicapsMatos!$C$6=A231,1,0)</f>
        <v>0</v>
      </c>
      <c r="D231">
        <f>IF(AtoutsHandicapsMatos!$C$7=A231,1,0)</f>
        <v>0</v>
      </c>
      <c r="E231">
        <f>IF(AtoutsHandicapsMatos!$C$8=A231,1,0)</f>
        <v>0</v>
      </c>
      <c r="F231">
        <f>IF(AtoutsHandicapsMatos!$C$9=A231,1,0)</f>
        <v>0</v>
      </c>
      <c r="G231">
        <f>IF(AtoutsHandicapsMatos!$C$10=A231,1,0)</f>
        <v>0</v>
      </c>
      <c r="H231">
        <f>IF(AtoutsHandicapsMatos!$C$11=A231,1,0)</f>
        <v>0</v>
      </c>
      <c r="I231">
        <f>IF(AtoutsHandicapsMatos!$C$12=A231,1,0)</f>
        <v>0</v>
      </c>
      <c r="J231">
        <f>IF(AtoutsHandicapsMatos!$C$13=A231,1,0)</f>
        <v>0</v>
      </c>
      <c r="K231">
        <f>IF(AtoutsHandicapsMatos!$C$14=A231,1,0)</f>
        <v>0</v>
      </c>
      <c r="L231">
        <f>IF('Perso Reloaded'!$L$20=A231,1,0)</f>
        <v>0</v>
      </c>
      <c r="M231">
        <f>IF('Perso Reloaded'!$L$21=A231,1,0)</f>
        <v>0</v>
      </c>
      <c r="N231">
        <f>IF('Perso Reloaded'!$L$22=A231,1,0)</f>
        <v>0</v>
      </c>
      <c r="O231">
        <f>IF('Perso Reloaded'!$L$23=A231,1,0)</f>
        <v>0</v>
      </c>
      <c r="P231">
        <f>IF('Perso Reloaded'!$L$24=A231,1,0)</f>
        <v>0</v>
      </c>
      <c r="Q231">
        <f>IF('Perso Reloaded'!$L$25=A231,1,0)</f>
        <v>0</v>
      </c>
      <c r="R231">
        <f>IF('Perso Reloaded'!$L$26=A231,1,0)</f>
        <v>0</v>
      </c>
      <c r="S231">
        <f>IF('Perso Reloaded'!$L$27=A231,1,0)</f>
        <v>0</v>
      </c>
      <c r="T231">
        <f t="shared" si="9"/>
        <v>0</v>
      </c>
      <c r="U231" t="b">
        <f t="shared" si="10"/>
        <v>0</v>
      </c>
    </row>
    <row r="232" spans="1:21" x14ac:dyDescent="0.3">
      <c r="A232" s="65" t="s">
        <v>271</v>
      </c>
      <c r="B232">
        <f>IF(AtoutsHandicapsMatos!$C$5=A232,1,0)</f>
        <v>0</v>
      </c>
      <c r="C232">
        <f>IF(AtoutsHandicapsMatos!$C$6=A232,1,0)</f>
        <v>0</v>
      </c>
      <c r="D232">
        <f>IF(AtoutsHandicapsMatos!$C$7=A232,1,0)</f>
        <v>0</v>
      </c>
      <c r="E232">
        <f>IF(AtoutsHandicapsMatos!$C$8=A232,1,0)</f>
        <v>0</v>
      </c>
      <c r="F232">
        <f>IF(AtoutsHandicapsMatos!$C$9=A232,1,0)</f>
        <v>0</v>
      </c>
      <c r="G232">
        <f>IF(AtoutsHandicapsMatos!$C$10=A232,1,0)</f>
        <v>0</v>
      </c>
      <c r="H232">
        <f>IF(AtoutsHandicapsMatos!$C$11=A232,1,0)</f>
        <v>0</v>
      </c>
      <c r="I232">
        <f>IF(AtoutsHandicapsMatos!$C$12=A232,1,0)</f>
        <v>0</v>
      </c>
      <c r="J232">
        <f>IF(AtoutsHandicapsMatos!$C$13=A232,1,0)</f>
        <v>0</v>
      </c>
      <c r="K232">
        <f>IF(AtoutsHandicapsMatos!$C$14=A232,1,0)</f>
        <v>0</v>
      </c>
      <c r="L232">
        <f>IF('Perso Reloaded'!$L$20=A232,1,0)</f>
        <v>0</v>
      </c>
      <c r="M232">
        <f>IF('Perso Reloaded'!$L$21=A232,1,0)</f>
        <v>0</v>
      </c>
      <c r="N232">
        <f>IF('Perso Reloaded'!$L$22=A232,1,0)</f>
        <v>0</v>
      </c>
      <c r="O232">
        <f>IF('Perso Reloaded'!$L$23=A232,1,0)</f>
        <v>0</v>
      </c>
      <c r="P232">
        <f>IF('Perso Reloaded'!$L$24=A232,1,0)</f>
        <v>0</v>
      </c>
      <c r="Q232">
        <f>IF('Perso Reloaded'!$L$25=A232,1,0)</f>
        <v>0</v>
      </c>
      <c r="R232">
        <f>IF('Perso Reloaded'!$L$26=A232,1,0)</f>
        <v>0</v>
      </c>
      <c r="S232">
        <f>IF('Perso Reloaded'!$L$27=A232,1,0)</f>
        <v>0</v>
      </c>
      <c r="T232">
        <f t="shared" si="9"/>
        <v>0</v>
      </c>
      <c r="U232" t="b">
        <f t="shared" si="10"/>
        <v>0</v>
      </c>
    </row>
    <row r="233" spans="1:21" x14ac:dyDescent="0.3">
      <c r="A233" s="65" t="s">
        <v>276</v>
      </c>
      <c r="B233">
        <f>IF(AtoutsHandicapsMatos!$C$5=A233,1,0)</f>
        <v>0</v>
      </c>
      <c r="C233">
        <f>IF(AtoutsHandicapsMatos!$C$6=A233,1,0)</f>
        <v>0</v>
      </c>
      <c r="D233">
        <f>IF(AtoutsHandicapsMatos!$C$7=A233,1,0)</f>
        <v>0</v>
      </c>
      <c r="E233">
        <f>IF(AtoutsHandicapsMatos!$C$8=A233,1,0)</f>
        <v>0</v>
      </c>
      <c r="F233">
        <f>IF(AtoutsHandicapsMatos!$C$9=A233,1,0)</f>
        <v>0</v>
      </c>
      <c r="G233">
        <f>IF(AtoutsHandicapsMatos!$C$10=A233,1,0)</f>
        <v>0</v>
      </c>
      <c r="H233">
        <f>IF(AtoutsHandicapsMatos!$C$11=A233,1,0)</f>
        <v>0</v>
      </c>
      <c r="I233">
        <f>IF(AtoutsHandicapsMatos!$C$12=A233,1,0)</f>
        <v>0</v>
      </c>
      <c r="J233">
        <f>IF(AtoutsHandicapsMatos!$C$13=A233,1,0)</f>
        <v>0</v>
      </c>
      <c r="K233">
        <f>IF(AtoutsHandicapsMatos!$C$14=A233,1,0)</f>
        <v>0</v>
      </c>
      <c r="L233">
        <f>IF('Perso Reloaded'!$L$20=A233,1,0)</f>
        <v>0</v>
      </c>
      <c r="M233">
        <f>IF('Perso Reloaded'!$L$21=A233,1,0)</f>
        <v>0</v>
      </c>
      <c r="N233">
        <f>IF('Perso Reloaded'!$L$22=A233,1,0)</f>
        <v>0</v>
      </c>
      <c r="O233">
        <f>IF('Perso Reloaded'!$L$23=A233,1,0)</f>
        <v>0</v>
      </c>
      <c r="P233">
        <f>IF('Perso Reloaded'!$L$24=A233,1,0)</f>
        <v>0</v>
      </c>
      <c r="Q233">
        <f>IF('Perso Reloaded'!$L$25=A233,1,0)</f>
        <v>0</v>
      </c>
      <c r="R233">
        <f>IF('Perso Reloaded'!$L$26=A233,1,0)</f>
        <v>0</v>
      </c>
      <c r="S233">
        <f>IF('Perso Reloaded'!$L$27=A233,1,0)</f>
        <v>0</v>
      </c>
      <c r="T233">
        <f t="shared" si="9"/>
        <v>0</v>
      </c>
      <c r="U233" t="b">
        <f t="shared" si="10"/>
        <v>0</v>
      </c>
    </row>
    <row r="234" spans="1:21" x14ac:dyDescent="0.3">
      <c r="A234" s="65" t="s">
        <v>272</v>
      </c>
      <c r="B234">
        <f>IF(AtoutsHandicapsMatos!$C$5=A234,1,0)</f>
        <v>0</v>
      </c>
      <c r="C234">
        <f>IF(AtoutsHandicapsMatos!$C$6=A234,1,0)</f>
        <v>0</v>
      </c>
      <c r="D234">
        <f>IF(AtoutsHandicapsMatos!$C$7=A234,1,0)</f>
        <v>0</v>
      </c>
      <c r="E234">
        <f>IF(AtoutsHandicapsMatos!$C$8=A234,1,0)</f>
        <v>0</v>
      </c>
      <c r="F234">
        <f>IF(AtoutsHandicapsMatos!$C$9=A234,1,0)</f>
        <v>0</v>
      </c>
      <c r="G234">
        <f>IF(AtoutsHandicapsMatos!$C$10=A234,1,0)</f>
        <v>0</v>
      </c>
      <c r="H234">
        <f>IF(AtoutsHandicapsMatos!$C$11=A234,1,0)</f>
        <v>0</v>
      </c>
      <c r="I234">
        <f>IF(AtoutsHandicapsMatos!$C$12=A234,1,0)</f>
        <v>0</v>
      </c>
      <c r="J234">
        <f>IF(AtoutsHandicapsMatos!$C$13=A234,1,0)</f>
        <v>0</v>
      </c>
      <c r="K234">
        <f>IF(AtoutsHandicapsMatos!$C$14=A234,1,0)</f>
        <v>0</v>
      </c>
      <c r="L234">
        <f>IF('Perso Reloaded'!$L$20=A234,1,0)</f>
        <v>0</v>
      </c>
      <c r="M234">
        <f>IF('Perso Reloaded'!$L$21=A234,1,0)</f>
        <v>0</v>
      </c>
      <c r="N234">
        <f>IF('Perso Reloaded'!$L$22=A234,1,0)</f>
        <v>0</v>
      </c>
      <c r="O234">
        <f>IF('Perso Reloaded'!$L$23=A234,1,0)</f>
        <v>0</v>
      </c>
      <c r="P234">
        <f>IF('Perso Reloaded'!$L$24=A234,1,0)</f>
        <v>0</v>
      </c>
      <c r="Q234">
        <f>IF('Perso Reloaded'!$L$25=A234,1,0)</f>
        <v>0</v>
      </c>
      <c r="R234">
        <f>IF('Perso Reloaded'!$L$26=A234,1,0)</f>
        <v>0</v>
      </c>
      <c r="S234">
        <f>IF('Perso Reloaded'!$L$27=A234,1,0)</f>
        <v>0</v>
      </c>
      <c r="T234">
        <f t="shared" si="9"/>
        <v>0</v>
      </c>
      <c r="U234" t="b">
        <f t="shared" si="10"/>
        <v>0</v>
      </c>
    </row>
    <row r="235" spans="1:21" x14ac:dyDescent="0.3">
      <c r="A235" s="65" t="s">
        <v>273</v>
      </c>
      <c r="B235">
        <f>IF(AtoutsHandicapsMatos!$C$5=A235,1,0)</f>
        <v>0</v>
      </c>
      <c r="C235">
        <f>IF(AtoutsHandicapsMatos!$C$6=A235,1,0)</f>
        <v>0</v>
      </c>
      <c r="D235">
        <f>IF(AtoutsHandicapsMatos!$C$7=A235,1,0)</f>
        <v>0</v>
      </c>
      <c r="E235">
        <f>IF(AtoutsHandicapsMatos!$C$8=A235,1,0)</f>
        <v>0</v>
      </c>
      <c r="F235">
        <f>IF(AtoutsHandicapsMatos!$C$9=A235,1,0)</f>
        <v>0</v>
      </c>
      <c r="G235">
        <f>IF(AtoutsHandicapsMatos!$C$10=A235,1,0)</f>
        <v>0</v>
      </c>
      <c r="H235">
        <f>IF(AtoutsHandicapsMatos!$C$11=A235,1,0)</f>
        <v>0</v>
      </c>
      <c r="I235">
        <f>IF(AtoutsHandicapsMatos!$C$12=A235,1,0)</f>
        <v>0</v>
      </c>
      <c r="J235">
        <f>IF(AtoutsHandicapsMatos!$C$13=A235,1,0)</f>
        <v>0</v>
      </c>
      <c r="K235">
        <f>IF(AtoutsHandicapsMatos!$C$14=A235,1,0)</f>
        <v>0</v>
      </c>
      <c r="L235">
        <f>IF('Perso Reloaded'!$L$20=A235,1,0)</f>
        <v>0</v>
      </c>
      <c r="M235">
        <f>IF('Perso Reloaded'!$L$21=A235,1,0)</f>
        <v>0</v>
      </c>
      <c r="N235">
        <f>IF('Perso Reloaded'!$L$22=A235,1,0)</f>
        <v>0</v>
      </c>
      <c r="O235">
        <f>IF('Perso Reloaded'!$L$23=A235,1,0)</f>
        <v>0</v>
      </c>
      <c r="P235">
        <f>IF('Perso Reloaded'!$L$24=A235,1,0)</f>
        <v>0</v>
      </c>
      <c r="Q235">
        <f>IF('Perso Reloaded'!$L$25=A235,1,0)</f>
        <v>0</v>
      </c>
      <c r="R235">
        <f>IF('Perso Reloaded'!$L$26=A235,1,0)</f>
        <v>0</v>
      </c>
      <c r="S235">
        <f>IF('Perso Reloaded'!$L$27=A235,1,0)</f>
        <v>0</v>
      </c>
      <c r="T235">
        <f t="shared" si="9"/>
        <v>0</v>
      </c>
      <c r="U235" t="b">
        <f t="shared" si="10"/>
        <v>0</v>
      </c>
    </row>
    <row r="236" spans="1:21" x14ac:dyDescent="0.3">
      <c r="A236" s="65" t="s">
        <v>274</v>
      </c>
      <c r="B236">
        <f>IF(AtoutsHandicapsMatos!$C$5=A236,1,0)</f>
        <v>0</v>
      </c>
      <c r="C236">
        <f>IF(AtoutsHandicapsMatos!$C$6=A236,1,0)</f>
        <v>0</v>
      </c>
      <c r="D236">
        <f>IF(AtoutsHandicapsMatos!$C$7=A236,1,0)</f>
        <v>0</v>
      </c>
      <c r="E236">
        <f>IF(AtoutsHandicapsMatos!$C$8=A236,1,0)</f>
        <v>0</v>
      </c>
      <c r="F236">
        <f>IF(AtoutsHandicapsMatos!$C$9=A236,1,0)</f>
        <v>0</v>
      </c>
      <c r="G236">
        <f>IF(AtoutsHandicapsMatos!$C$10=A236,1,0)</f>
        <v>0</v>
      </c>
      <c r="H236">
        <f>IF(AtoutsHandicapsMatos!$C$11=A236,1,0)</f>
        <v>0</v>
      </c>
      <c r="I236">
        <f>IF(AtoutsHandicapsMatos!$C$12=A236,1,0)</f>
        <v>0</v>
      </c>
      <c r="J236">
        <f>IF(AtoutsHandicapsMatos!$C$13=A236,1,0)</f>
        <v>0</v>
      </c>
      <c r="K236">
        <f>IF(AtoutsHandicapsMatos!$C$14=A236,1,0)</f>
        <v>0</v>
      </c>
      <c r="L236">
        <f>IF('Perso Reloaded'!$L$20=A236,1,0)</f>
        <v>0</v>
      </c>
      <c r="M236">
        <f>IF('Perso Reloaded'!$L$21=A236,1,0)</f>
        <v>0</v>
      </c>
      <c r="N236">
        <f>IF('Perso Reloaded'!$L$22=A236,1,0)</f>
        <v>0</v>
      </c>
      <c r="O236">
        <f>IF('Perso Reloaded'!$L$23=A236,1,0)</f>
        <v>0</v>
      </c>
      <c r="P236">
        <f>IF('Perso Reloaded'!$L$24=A236,1,0)</f>
        <v>0</v>
      </c>
      <c r="Q236">
        <f>IF('Perso Reloaded'!$L$25=A236,1,0)</f>
        <v>0</v>
      </c>
      <c r="R236">
        <f>IF('Perso Reloaded'!$L$26=A236,1,0)</f>
        <v>0</v>
      </c>
      <c r="S236">
        <f>IF('Perso Reloaded'!$L$27=A236,1,0)</f>
        <v>0</v>
      </c>
      <c r="T236">
        <f t="shared" si="9"/>
        <v>0</v>
      </c>
      <c r="U236" t="b">
        <f t="shared" si="10"/>
        <v>0</v>
      </c>
    </row>
    <row r="237" spans="1:21" x14ac:dyDescent="0.3">
      <c r="A237" s="65" t="s">
        <v>275</v>
      </c>
      <c r="B237">
        <f>IF(AtoutsHandicapsMatos!$C$5=A237,1,0)</f>
        <v>0</v>
      </c>
      <c r="C237">
        <f>IF(AtoutsHandicapsMatos!$C$6=A237,1,0)</f>
        <v>0</v>
      </c>
      <c r="D237">
        <f>IF(AtoutsHandicapsMatos!$C$7=A237,1,0)</f>
        <v>0</v>
      </c>
      <c r="E237">
        <f>IF(AtoutsHandicapsMatos!$C$8=A237,1,0)</f>
        <v>0</v>
      </c>
      <c r="F237">
        <f>IF(AtoutsHandicapsMatos!$C$9=A237,1,0)</f>
        <v>0</v>
      </c>
      <c r="G237">
        <f>IF(AtoutsHandicapsMatos!$C$10=A237,1,0)</f>
        <v>0</v>
      </c>
      <c r="H237">
        <f>IF(AtoutsHandicapsMatos!$C$11=A237,1,0)</f>
        <v>0</v>
      </c>
      <c r="I237">
        <f>IF(AtoutsHandicapsMatos!$C$12=A237,1,0)</f>
        <v>0</v>
      </c>
      <c r="J237">
        <f>IF(AtoutsHandicapsMatos!$C$13=A237,1,0)</f>
        <v>0</v>
      </c>
      <c r="K237">
        <f>IF(AtoutsHandicapsMatos!$C$14=A237,1,0)</f>
        <v>0</v>
      </c>
      <c r="L237">
        <f>IF('Perso Reloaded'!$L$20=A237,1,0)</f>
        <v>0</v>
      </c>
      <c r="M237">
        <f>IF('Perso Reloaded'!$L$21=A237,1,0)</f>
        <v>0</v>
      </c>
      <c r="N237">
        <f>IF('Perso Reloaded'!$L$22=A237,1,0)</f>
        <v>0</v>
      </c>
      <c r="O237">
        <f>IF('Perso Reloaded'!$L$23=A237,1,0)</f>
        <v>0</v>
      </c>
      <c r="P237">
        <f>IF('Perso Reloaded'!$L$24=A237,1,0)</f>
        <v>0</v>
      </c>
      <c r="Q237">
        <f>IF('Perso Reloaded'!$L$25=A237,1,0)</f>
        <v>0</v>
      </c>
      <c r="R237">
        <f>IF('Perso Reloaded'!$L$26=A237,1,0)</f>
        <v>0</v>
      </c>
      <c r="S237">
        <f>IF('Perso Reloaded'!$L$27=A237,1,0)</f>
        <v>0</v>
      </c>
      <c r="T237">
        <f t="shared" si="9"/>
        <v>0</v>
      </c>
      <c r="U237" t="b">
        <f t="shared" si="10"/>
        <v>0</v>
      </c>
    </row>
    <row r="238" spans="1:21" x14ac:dyDescent="0.3">
      <c r="A238" s="65" t="str">
        <f>IF(OR(SexePerso="Féminin",'Perso Reloaded'!$C$6="Féminin"),"Née à cheval","Né à cheval")</f>
        <v>Né à cheval</v>
      </c>
      <c r="B238">
        <f>IF(AtoutsHandicapsMatos!$C$5=A238,1,0)</f>
        <v>0</v>
      </c>
      <c r="C238">
        <f>IF(AtoutsHandicapsMatos!$C$6=A238,1,0)</f>
        <v>0</v>
      </c>
      <c r="D238">
        <f>IF(AtoutsHandicapsMatos!$C$7=A238,1,0)</f>
        <v>0</v>
      </c>
      <c r="E238">
        <f>IF(AtoutsHandicapsMatos!$C$8=A238,1,0)</f>
        <v>0</v>
      </c>
      <c r="F238">
        <f>IF(AtoutsHandicapsMatos!$C$9=A238,1,0)</f>
        <v>0</v>
      </c>
      <c r="G238">
        <f>IF(AtoutsHandicapsMatos!$C$10=A238,1,0)</f>
        <v>0</v>
      </c>
      <c r="H238">
        <f>IF(AtoutsHandicapsMatos!$C$11=A238,1,0)</f>
        <v>0</v>
      </c>
      <c r="I238">
        <f>IF(AtoutsHandicapsMatos!$C$12=A238,1,0)</f>
        <v>0</v>
      </c>
      <c r="J238">
        <f>IF(AtoutsHandicapsMatos!$C$13=A238,1,0)</f>
        <v>0</v>
      </c>
      <c r="K238">
        <f>IF(AtoutsHandicapsMatos!$C$14=A238,1,0)</f>
        <v>0</v>
      </c>
      <c r="L238">
        <f>IF('Perso Reloaded'!$L$20=A238,1,0)</f>
        <v>0</v>
      </c>
      <c r="M238">
        <f>IF('Perso Reloaded'!$L$21=A238,1,0)</f>
        <v>0</v>
      </c>
      <c r="N238">
        <f>IF('Perso Reloaded'!$L$22=A238,1,0)</f>
        <v>0</v>
      </c>
      <c r="O238">
        <f>IF('Perso Reloaded'!$L$23=A238,1,0)</f>
        <v>0</v>
      </c>
      <c r="P238">
        <f>IF('Perso Reloaded'!$L$24=A238,1,0)</f>
        <v>0</v>
      </c>
      <c r="Q238">
        <f>IF('Perso Reloaded'!$L$25=A238,1,0)</f>
        <v>0</v>
      </c>
      <c r="R238">
        <f>IF('Perso Reloaded'!$L$26=A238,1,0)</f>
        <v>0</v>
      </c>
      <c r="S238">
        <f>IF('Perso Reloaded'!$L$27=A238,1,0)</f>
        <v>0</v>
      </c>
      <c r="T238">
        <f t="shared" si="9"/>
        <v>0</v>
      </c>
      <c r="U238" t="b">
        <f t="shared" si="10"/>
        <v>0</v>
      </c>
    </row>
    <row r="239" spans="1:21" x14ac:dyDescent="0.3">
      <c r="A239" s="65" t="s">
        <v>277</v>
      </c>
      <c r="B239">
        <f>IF(AtoutsHandicapsMatos!$C$5=A239,1,0)</f>
        <v>0</v>
      </c>
      <c r="C239">
        <f>IF(AtoutsHandicapsMatos!$C$6=A239,1,0)</f>
        <v>0</v>
      </c>
      <c r="D239">
        <f>IF(AtoutsHandicapsMatos!$C$7=A239,1,0)</f>
        <v>0</v>
      </c>
      <c r="E239">
        <f>IF(AtoutsHandicapsMatos!$C$8=A239,1,0)</f>
        <v>0</v>
      </c>
      <c r="F239">
        <f>IF(AtoutsHandicapsMatos!$C$9=A239,1,0)</f>
        <v>0</v>
      </c>
      <c r="G239">
        <f>IF(AtoutsHandicapsMatos!$C$10=A239,1,0)</f>
        <v>0</v>
      </c>
      <c r="H239">
        <f>IF(AtoutsHandicapsMatos!$C$11=A239,1,0)</f>
        <v>0</v>
      </c>
      <c r="I239">
        <f>IF(AtoutsHandicapsMatos!$C$12=A239,1,0)</f>
        <v>0</v>
      </c>
      <c r="J239">
        <f>IF(AtoutsHandicapsMatos!$C$13=A239,1,0)</f>
        <v>0</v>
      </c>
      <c r="K239">
        <f>IF(AtoutsHandicapsMatos!$C$14=A239,1,0)</f>
        <v>0</v>
      </c>
      <c r="L239">
        <f>IF('Perso Reloaded'!$L$20=A239,1,0)</f>
        <v>0</v>
      </c>
      <c r="M239">
        <f>IF('Perso Reloaded'!$L$21=A239,1,0)</f>
        <v>0</v>
      </c>
      <c r="N239">
        <f>IF('Perso Reloaded'!$L$22=A239,1,0)</f>
        <v>0</v>
      </c>
      <c r="O239">
        <f>IF('Perso Reloaded'!$L$23=A239,1,0)</f>
        <v>0</v>
      </c>
      <c r="P239">
        <f>IF('Perso Reloaded'!$L$24=A239,1,0)</f>
        <v>0</v>
      </c>
      <c r="Q239">
        <f>IF('Perso Reloaded'!$L$25=A239,1,0)</f>
        <v>0</v>
      </c>
      <c r="R239">
        <f>IF('Perso Reloaded'!$L$26=A239,1,0)</f>
        <v>0</v>
      </c>
      <c r="S239">
        <f>IF('Perso Reloaded'!$L$27=A239,1,0)</f>
        <v>0</v>
      </c>
      <c r="T239">
        <f t="shared" si="9"/>
        <v>0</v>
      </c>
      <c r="U239" t="b">
        <f t="shared" si="10"/>
        <v>0</v>
      </c>
    </row>
    <row r="240" spans="1:21" x14ac:dyDescent="0.3">
      <c r="A240" s="65" t="s">
        <v>3267</v>
      </c>
      <c r="B240">
        <f>IF(AtoutsHandicapsMatos!$C$5=A240,1,0)</f>
        <v>0</v>
      </c>
      <c r="C240">
        <f>IF(AtoutsHandicapsMatos!$C$6=A240,1,0)</f>
        <v>0</v>
      </c>
      <c r="D240">
        <f>IF(AtoutsHandicapsMatos!$C$7=A240,1,0)</f>
        <v>0</v>
      </c>
      <c r="E240">
        <f>IF(AtoutsHandicapsMatos!$C$8=A240,1,0)</f>
        <v>0</v>
      </c>
      <c r="F240">
        <f>IF(AtoutsHandicapsMatos!$C$9=A240,1,0)</f>
        <v>0</v>
      </c>
      <c r="G240">
        <f>IF(AtoutsHandicapsMatos!$C$10=A240,1,0)</f>
        <v>0</v>
      </c>
      <c r="H240">
        <f>IF(AtoutsHandicapsMatos!$C$11=A240,1,0)</f>
        <v>0</v>
      </c>
      <c r="I240">
        <f>IF(AtoutsHandicapsMatos!$C$12=A240,1,0)</f>
        <v>0</v>
      </c>
      <c r="J240">
        <f>IF(AtoutsHandicapsMatos!$C$13=A240,1,0)</f>
        <v>0</v>
      </c>
      <c r="K240">
        <f>IF(AtoutsHandicapsMatos!$C$14=A240,1,0)</f>
        <v>0</v>
      </c>
      <c r="L240">
        <f>IF('Perso Reloaded'!$L$20=A240,1,0)</f>
        <v>0</v>
      </c>
      <c r="M240">
        <f>IF('Perso Reloaded'!$L$21=A240,1,0)</f>
        <v>0</v>
      </c>
      <c r="N240">
        <f>IF('Perso Reloaded'!$L$22=A240,1,0)</f>
        <v>0</v>
      </c>
      <c r="O240">
        <f>IF('Perso Reloaded'!$L$23=A240,1,0)</f>
        <v>0</v>
      </c>
      <c r="P240">
        <f>IF('Perso Reloaded'!$L$24=A240,1,0)</f>
        <v>0</v>
      </c>
      <c r="Q240">
        <f>IF('Perso Reloaded'!$L$25=A240,1,0)</f>
        <v>0</v>
      </c>
      <c r="R240">
        <f>IF('Perso Reloaded'!$L$26=A240,1,0)</f>
        <v>0</v>
      </c>
      <c r="S240">
        <f>IF('Perso Reloaded'!$L$27=A240,1,0)</f>
        <v>0</v>
      </c>
      <c r="T240">
        <f t="shared" si="9"/>
        <v>0</v>
      </c>
      <c r="U240" t="b">
        <f t="shared" si="10"/>
        <v>0</v>
      </c>
    </row>
    <row r="241" spans="1:21" x14ac:dyDescent="0.3">
      <c r="A241" s="65" t="s">
        <v>5279</v>
      </c>
      <c r="B241">
        <f>IF(AtoutsHandicapsMatos!$C$5=A241,1,0)</f>
        <v>0</v>
      </c>
      <c r="C241">
        <f>IF(AtoutsHandicapsMatos!$C$6=A241,1,0)</f>
        <v>0</v>
      </c>
      <c r="D241">
        <f>IF(AtoutsHandicapsMatos!$C$7=A241,1,0)</f>
        <v>0</v>
      </c>
      <c r="E241">
        <f>IF(AtoutsHandicapsMatos!$C$8=A241,1,0)</f>
        <v>0</v>
      </c>
      <c r="F241">
        <f>IF(AtoutsHandicapsMatos!$C$9=A241,1,0)</f>
        <v>0</v>
      </c>
      <c r="G241">
        <f>IF(AtoutsHandicapsMatos!$C$10=A241,1,0)</f>
        <v>0</v>
      </c>
      <c r="H241">
        <f>IF(AtoutsHandicapsMatos!$C$11=A241,1,0)</f>
        <v>0</v>
      </c>
      <c r="I241">
        <f>IF(AtoutsHandicapsMatos!$C$12=A241,1,0)</f>
        <v>0</v>
      </c>
      <c r="J241">
        <f>IF(AtoutsHandicapsMatos!$C$13=A241,1,0)</f>
        <v>0</v>
      </c>
      <c r="K241">
        <f>IF(AtoutsHandicapsMatos!$C$14=A241,1,0)</f>
        <v>0</v>
      </c>
      <c r="L241">
        <f>IF('Perso Reloaded'!$L$20=A241,1,0)</f>
        <v>0</v>
      </c>
      <c r="M241">
        <f>IF('Perso Reloaded'!$L$21=A241,1,0)</f>
        <v>0</v>
      </c>
      <c r="N241">
        <f>IF('Perso Reloaded'!$L$22=A241,1,0)</f>
        <v>0</v>
      </c>
      <c r="O241">
        <f>IF('Perso Reloaded'!$L$23=A241,1,0)</f>
        <v>0</v>
      </c>
      <c r="P241">
        <f>IF('Perso Reloaded'!$L$24=A241,1,0)</f>
        <v>0</v>
      </c>
      <c r="Q241">
        <f>IF('Perso Reloaded'!$L$25=A241,1,0)</f>
        <v>0</v>
      </c>
      <c r="R241">
        <f>IF('Perso Reloaded'!$L$26=A241,1,0)</f>
        <v>0</v>
      </c>
      <c r="S241">
        <f>IF('Perso Reloaded'!$L$27=A241,1,0)</f>
        <v>0</v>
      </c>
      <c r="T241">
        <f t="shared" ref="T241" si="12">SUM(B241:S241)</f>
        <v>0</v>
      </c>
      <c r="U241" t="b">
        <f t="shared" si="10"/>
        <v>0</v>
      </c>
    </row>
    <row r="242" spans="1:21" x14ac:dyDescent="0.3">
      <c r="A242" s="65" t="s">
        <v>3475</v>
      </c>
      <c r="B242">
        <f>IF(AtoutsHandicapsMatos!$C$5=A242,1,0)</f>
        <v>0</v>
      </c>
      <c r="C242">
        <f>IF(AtoutsHandicapsMatos!$C$6=A242,1,0)</f>
        <v>0</v>
      </c>
      <c r="D242">
        <f>IF(AtoutsHandicapsMatos!$C$7=A242,1,0)</f>
        <v>0</v>
      </c>
      <c r="E242">
        <f>IF(AtoutsHandicapsMatos!$C$8=A242,1,0)</f>
        <v>0</v>
      </c>
      <c r="F242">
        <f>IF(AtoutsHandicapsMatos!$C$9=A242,1,0)</f>
        <v>0</v>
      </c>
      <c r="G242">
        <f>IF(AtoutsHandicapsMatos!$C$10=A242,1,0)</f>
        <v>0</v>
      </c>
      <c r="H242">
        <f>IF(AtoutsHandicapsMatos!$C$11=A242,1,0)</f>
        <v>0</v>
      </c>
      <c r="I242">
        <f>IF(AtoutsHandicapsMatos!$C$12=A242,1,0)</f>
        <v>0</v>
      </c>
      <c r="J242">
        <f>IF(AtoutsHandicapsMatos!$C$13=A242,1,0)</f>
        <v>0</v>
      </c>
      <c r="K242">
        <f>IF(AtoutsHandicapsMatos!$C$14=A242,1,0)</f>
        <v>0</v>
      </c>
      <c r="L242">
        <f>IF('Perso Reloaded'!$L$20=A242,1,0)</f>
        <v>0</v>
      </c>
      <c r="M242">
        <f>IF('Perso Reloaded'!$L$21=A242,1,0)</f>
        <v>0</v>
      </c>
      <c r="N242">
        <f>IF('Perso Reloaded'!$L$22=A242,1,0)</f>
        <v>0</v>
      </c>
      <c r="O242">
        <f>IF('Perso Reloaded'!$L$23=A242,1,0)</f>
        <v>0</v>
      </c>
      <c r="P242">
        <f>IF('Perso Reloaded'!$L$24=A242,1,0)</f>
        <v>0</v>
      </c>
      <c r="Q242">
        <f>IF('Perso Reloaded'!$L$25=A242,1,0)</f>
        <v>0</v>
      </c>
      <c r="R242">
        <f>IF('Perso Reloaded'!$L$26=A242,1,0)</f>
        <v>0</v>
      </c>
      <c r="S242">
        <f>IF('Perso Reloaded'!$L$27=A242,1,0)</f>
        <v>0</v>
      </c>
      <c r="T242">
        <f t="shared" si="9"/>
        <v>0</v>
      </c>
      <c r="U242" t="b">
        <f t="shared" si="10"/>
        <v>0</v>
      </c>
    </row>
    <row r="243" spans="1:21" x14ac:dyDescent="0.3">
      <c r="A243" s="65" t="s">
        <v>278</v>
      </c>
      <c r="B243">
        <f>IF(AtoutsHandicapsMatos!$C$5=A243,1,0)</f>
        <v>0</v>
      </c>
      <c r="C243">
        <f>IF(AtoutsHandicapsMatos!$C$6=A243,1,0)</f>
        <v>0</v>
      </c>
      <c r="D243">
        <f>IF(AtoutsHandicapsMatos!$C$7=A243,1,0)</f>
        <v>0</v>
      </c>
      <c r="E243">
        <f>IF(AtoutsHandicapsMatos!$C$8=A243,1,0)</f>
        <v>0</v>
      </c>
      <c r="F243">
        <f>IF(AtoutsHandicapsMatos!$C$9=A243,1,0)</f>
        <v>0</v>
      </c>
      <c r="G243">
        <f>IF(AtoutsHandicapsMatos!$C$10=A243,1,0)</f>
        <v>0</v>
      </c>
      <c r="H243">
        <f>IF(AtoutsHandicapsMatos!$C$11=A243,1,0)</f>
        <v>0</v>
      </c>
      <c r="I243">
        <f>IF(AtoutsHandicapsMatos!$C$12=A243,1,0)</f>
        <v>0</v>
      </c>
      <c r="J243">
        <f>IF(AtoutsHandicapsMatos!$C$13=A243,1,0)</f>
        <v>0</v>
      </c>
      <c r="K243">
        <f>IF(AtoutsHandicapsMatos!$C$14=A243,1,0)</f>
        <v>0</v>
      </c>
      <c r="L243">
        <f>IF('Perso Reloaded'!$L$20=A243,1,0)</f>
        <v>0</v>
      </c>
      <c r="M243">
        <f>IF('Perso Reloaded'!$L$21=A243,1,0)</f>
        <v>0</v>
      </c>
      <c r="N243">
        <f>IF('Perso Reloaded'!$L$22=A243,1,0)</f>
        <v>0</v>
      </c>
      <c r="O243">
        <f>IF('Perso Reloaded'!$L$23=A243,1,0)</f>
        <v>0</v>
      </c>
      <c r="P243">
        <f>IF('Perso Reloaded'!$L$24=A243,1,0)</f>
        <v>0</v>
      </c>
      <c r="Q243">
        <f>IF('Perso Reloaded'!$L$25=A243,1,0)</f>
        <v>0</v>
      </c>
      <c r="R243">
        <f>IF('Perso Reloaded'!$L$26=A243,1,0)</f>
        <v>0</v>
      </c>
      <c r="S243">
        <f>IF('Perso Reloaded'!$L$27=A243,1,0)</f>
        <v>0</v>
      </c>
      <c r="T243">
        <f t="shared" si="9"/>
        <v>0</v>
      </c>
      <c r="U243" t="b">
        <f t="shared" si="10"/>
        <v>0</v>
      </c>
    </row>
    <row r="244" spans="1:21" x14ac:dyDescent="0.3">
      <c r="A244" s="65" t="s">
        <v>4722</v>
      </c>
      <c r="B244">
        <f>IF(AtoutsHandicapsMatos!$C$5=A244,1,0)</f>
        <v>0</v>
      </c>
      <c r="C244">
        <f>IF(AtoutsHandicapsMatos!$C$6=A244,1,0)</f>
        <v>0</v>
      </c>
      <c r="D244">
        <f>IF(AtoutsHandicapsMatos!$C$7=A244,1,0)</f>
        <v>0</v>
      </c>
      <c r="E244">
        <f>IF(AtoutsHandicapsMatos!$C$8=A244,1,0)</f>
        <v>0</v>
      </c>
      <c r="F244">
        <f>IF(AtoutsHandicapsMatos!$C$9=A244,1,0)</f>
        <v>0</v>
      </c>
      <c r="G244">
        <f>IF(AtoutsHandicapsMatos!$C$10=A244,1,0)</f>
        <v>0</v>
      </c>
      <c r="H244">
        <f>IF(AtoutsHandicapsMatos!$C$11=A244,1,0)</f>
        <v>0</v>
      </c>
      <c r="I244">
        <f>IF(AtoutsHandicapsMatos!$C$12=A244,1,0)</f>
        <v>0</v>
      </c>
      <c r="J244">
        <f>IF(AtoutsHandicapsMatos!$C$13=A244,1,0)</f>
        <v>0</v>
      </c>
      <c r="K244">
        <f>IF(AtoutsHandicapsMatos!$C$14=A244,1,0)</f>
        <v>0</v>
      </c>
      <c r="L244">
        <f>IF('Perso Reloaded'!$L$20=A244,1,0)</f>
        <v>0</v>
      </c>
      <c r="M244">
        <f>IF('Perso Reloaded'!$L$21=A244,1,0)</f>
        <v>0</v>
      </c>
      <c r="N244">
        <f>IF('Perso Reloaded'!$L$22=A244,1,0)</f>
        <v>0</v>
      </c>
      <c r="O244">
        <f>IF('Perso Reloaded'!$L$23=A244,1,0)</f>
        <v>0</v>
      </c>
      <c r="P244">
        <f>IF('Perso Reloaded'!$L$24=A244,1,0)</f>
        <v>0</v>
      </c>
      <c r="Q244">
        <f>IF('Perso Reloaded'!$L$25=A244,1,0)</f>
        <v>0</v>
      </c>
      <c r="R244">
        <f>IF('Perso Reloaded'!$L$26=A244,1,0)</f>
        <v>0</v>
      </c>
      <c r="S244">
        <f>IF('Perso Reloaded'!$L$27=A244,1,0)</f>
        <v>0</v>
      </c>
      <c r="T244">
        <f t="shared" si="9"/>
        <v>0</v>
      </c>
      <c r="U244" t="b">
        <f t="shared" si="10"/>
        <v>0</v>
      </c>
    </row>
    <row r="245" spans="1:21" x14ac:dyDescent="0.3">
      <c r="A245" s="65" t="s">
        <v>279</v>
      </c>
      <c r="B245">
        <f>IF(AtoutsHandicapsMatos!$C$5=A245,1,0)</f>
        <v>0</v>
      </c>
      <c r="C245">
        <f>IF(AtoutsHandicapsMatos!$C$6=A245,1,0)</f>
        <v>0</v>
      </c>
      <c r="D245">
        <f>IF(AtoutsHandicapsMatos!$C$7=A245,1,0)</f>
        <v>0</v>
      </c>
      <c r="E245">
        <f>IF(AtoutsHandicapsMatos!$C$8=A245,1,0)</f>
        <v>0</v>
      </c>
      <c r="F245">
        <f>IF(AtoutsHandicapsMatos!$C$9=A245,1,0)</f>
        <v>0</v>
      </c>
      <c r="G245">
        <f>IF(AtoutsHandicapsMatos!$C$10=A245,1,0)</f>
        <v>0</v>
      </c>
      <c r="H245">
        <f>IF(AtoutsHandicapsMatos!$C$11=A245,1,0)</f>
        <v>0</v>
      </c>
      <c r="I245">
        <f>IF(AtoutsHandicapsMatos!$C$12=A245,1,0)</f>
        <v>0</v>
      </c>
      <c r="J245">
        <f>IF(AtoutsHandicapsMatos!$C$13=A245,1,0)</f>
        <v>0</v>
      </c>
      <c r="K245">
        <f>IF(AtoutsHandicapsMatos!$C$14=A245,1,0)</f>
        <v>0</v>
      </c>
      <c r="L245">
        <f>IF('Perso Reloaded'!$L$20=A245,1,0)</f>
        <v>0</v>
      </c>
      <c r="M245">
        <f>IF('Perso Reloaded'!$L$21=A245,1,0)</f>
        <v>0</v>
      </c>
      <c r="N245">
        <f>IF('Perso Reloaded'!$L$22=A245,1,0)</f>
        <v>0</v>
      </c>
      <c r="O245">
        <f>IF('Perso Reloaded'!$L$23=A245,1,0)</f>
        <v>0</v>
      </c>
      <c r="P245">
        <f>IF('Perso Reloaded'!$L$24=A245,1,0)</f>
        <v>0</v>
      </c>
      <c r="Q245">
        <f>IF('Perso Reloaded'!$L$25=A245,1,0)</f>
        <v>0</v>
      </c>
      <c r="R245">
        <f>IF('Perso Reloaded'!$L$26=A245,1,0)</f>
        <v>0</v>
      </c>
      <c r="S245">
        <f>IF('Perso Reloaded'!$L$27=A245,1,0)</f>
        <v>0</v>
      </c>
      <c r="T245">
        <f t="shared" si="9"/>
        <v>0</v>
      </c>
      <c r="U245" t="b">
        <f t="shared" si="10"/>
        <v>0</v>
      </c>
    </row>
    <row r="246" spans="1:21" x14ac:dyDescent="0.3">
      <c r="A246" s="65" t="s">
        <v>3286</v>
      </c>
      <c r="B246">
        <f>IF(AtoutsHandicapsMatos!$C$5=A246,1,0)</f>
        <v>0</v>
      </c>
      <c r="C246">
        <f>IF(AtoutsHandicapsMatos!$C$6=A246,1,0)</f>
        <v>0</v>
      </c>
      <c r="D246">
        <f>IF(AtoutsHandicapsMatos!$C$7=A246,1,0)</f>
        <v>0</v>
      </c>
      <c r="E246">
        <f>IF(AtoutsHandicapsMatos!$C$8=A246,1,0)</f>
        <v>0</v>
      </c>
      <c r="F246">
        <f>IF(AtoutsHandicapsMatos!$C$9=A246,1,0)</f>
        <v>0</v>
      </c>
      <c r="G246">
        <f>IF(AtoutsHandicapsMatos!$C$10=A246,1,0)</f>
        <v>0</v>
      </c>
      <c r="H246">
        <f>IF(AtoutsHandicapsMatos!$C$11=A246,1,0)</f>
        <v>0</v>
      </c>
      <c r="I246">
        <f>IF(AtoutsHandicapsMatos!$C$12=A246,1,0)</f>
        <v>0</v>
      </c>
      <c r="J246">
        <f>IF(AtoutsHandicapsMatos!$C$13=A246,1,0)</f>
        <v>0</v>
      </c>
      <c r="K246">
        <f>IF(AtoutsHandicapsMatos!$C$14=A246,1,0)</f>
        <v>0</v>
      </c>
      <c r="L246">
        <f>IF('Perso Reloaded'!$L$20=A246,1,0)</f>
        <v>0</v>
      </c>
      <c r="M246">
        <f>IF('Perso Reloaded'!$L$21=A246,1,0)</f>
        <v>0</v>
      </c>
      <c r="N246">
        <f>IF('Perso Reloaded'!$L$22=A246,1,0)</f>
        <v>0</v>
      </c>
      <c r="O246">
        <f>IF('Perso Reloaded'!$L$23=A246,1,0)</f>
        <v>0</v>
      </c>
      <c r="P246">
        <f>IF('Perso Reloaded'!$L$24=A246,1,0)</f>
        <v>0</v>
      </c>
      <c r="Q246">
        <f>IF('Perso Reloaded'!$L$25=A246,1,0)</f>
        <v>0</v>
      </c>
      <c r="R246">
        <f>IF('Perso Reloaded'!$L$26=A246,1,0)</f>
        <v>0</v>
      </c>
      <c r="S246">
        <f>IF('Perso Reloaded'!$L$27=A246,1,0)</f>
        <v>0</v>
      </c>
      <c r="T246">
        <f t="shared" si="9"/>
        <v>0</v>
      </c>
      <c r="U246" t="b">
        <f t="shared" si="10"/>
        <v>0</v>
      </c>
    </row>
    <row r="247" spans="1:21" x14ac:dyDescent="0.3">
      <c r="A247" s="65" t="s">
        <v>4734</v>
      </c>
      <c r="B247">
        <f>IF(AtoutsHandicapsMatos!$C$5=A247,1,0)</f>
        <v>0</v>
      </c>
      <c r="C247">
        <f>IF(AtoutsHandicapsMatos!$C$6=A247,1,0)</f>
        <v>0</v>
      </c>
      <c r="D247">
        <f>IF(AtoutsHandicapsMatos!$C$7=A247,1,0)</f>
        <v>0</v>
      </c>
      <c r="E247">
        <f>IF(AtoutsHandicapsMatos!$C$8=A247,1,0)</f>
        <v>0</v>
      </c>
      <c r="F247">
        <f>IF(AtoutsHandicapsMatos!$C$9=A247,1,0)</f>
        <v>0</v>
      </c>
      <c r="G247">
        <f>IF(AtoutsHandicapsMatos!$C$10=A247,1,0)</f>
        <v>0</v>
      </c>
      <c r="H247">
        <f>IF(AtoutsHandicapsMatos!$C$11=A247,1,0)</f>
        <v>0</v>
      </c>
      <c r="I247">
        <f>IF(AtoutsHandicapsMatos!$C$12=A247,1,0)</f>
        <v>0</v>
      </c>
      <c r="J247">
        <f>IF(AtoutsHandicapsMatos!$C$13=A247,1,0)</f>
        <v>0</v>
      </c>
      <c r="K247">
        <f>IF(AtoutsHandicapsMatos!$C$14=A247,1,0)</f>
        <v>0</v>
      </c>
      <c r="L247">
        <f>IF('Perso Reloaded'!$L$20=A247,1,0)</f>
        <v>0</v>
      </c>
      <c r="M247">
        <f>IF('Perso Reloaded'!$L$21=A247,1,0)</f>
        <v>0</v>
      </c>
      <c r="N247">
        <f>IF('Perso Reloaded'!$L$22=A247,1,0)</f>
        <v>0</v>
      </c>
      <c r="O247">
        <f>IF('Perso Reloaded'!$L$23=A247,1,0)</f>
        <v>0</v>
      </c>
      <c r="P247">
        <f>IF('Perso Reloaded'!$L$24=A247,1,0)</f>
        <v>0</v>
      </c>
      <c r="Q247">
        <f>IF('Perso Reloaded'!$L$25=A247,1,0)</f>
        <v>0</v>
      </c>
      <c r="R247">
        <f>IF('Perso Reloaded'!$L$26=A247,1,0)</f>
        <v>0</v>
      </c>
      <c r="S247">
        <f>IF('Perso Reloaded'!$L$27=A247,1,0)</f>
        <v>0</v>
      </c>
      <c r="T247">
        <f t="shared" si="9"/>
        <v>0</v>
      </c>
      <c r="U247" t="b">
        <f t="shared" si="10"/>
        <v>0</v>
      </c>
    </row>
    <row r="248" spans="1:21" x14ac:dyDescent="0.3">
      <c r="A248" s="65" t="s">
        <v>1383</v>
      </c>
      <c r="B248">
        <f>IF(AtoutsHandicapsMatos!$C$5=A248,1,0)</f>
        <v>0</v>
      </c>
      <c r="C248">
        <f>IF(AtoutsHandicapsMatos!$C$6=A248,1,0)</f>
        <v>0</v>
      </c>
      <c r="D248">
        <f>IF(AtoutsHandicapsMatos!$C$7=A248,1,0)</f>
        <v>0</v>
      </c>
      <c r="E248">
        <f>IF(AtoutsHandicapsMatos!$C$8=A248,1,0)</f>
        <v>0</v>
      </c>
      <c r="F248">
        <f>IF(AtoutsHandicapsMatos!$C$9=A248,1,0)</f>
        <v>0</v>
      </c>
      <c r="G248">
        <f>IF(AtoutsHandicapsMatos!$C$10=A248,1,0)</f>
        <v>0</v>
      </c>
      <c r="H248">
        <f>IF(AtoutsHandicapsMatos!$C$11=A248,1,0)</f>
        <v>0</v>
      </c>
      <c r="I248">
        <f>IF(AtoutsHandicapsMatos!$C$12=A248,1,0)</f>
        <v>0</v>
      </c>
      <c r="J248">
        <f>IF(AtoutsHandicapsMatos!$C$13=A248,1,0)</f>
        <v>0</v>
      </c>
      <c r="K248">
        <f>IF(AtoutsHandicapsMatos!$C$14=A248,1,0)</f>
        <v>0</v>
      </c>
      <c r="L248">
        <f>IF('Perso Reloaded'!$L$20=A248,1,0)</f>
        <v>0</v>
      </c>
      <c r="M248">
        <f>IF('Perso Reloaded'!$L$21=A248,1,0)</f>
        <v>0</v>
      </c>
      <c r="N248">
        <f>IF('Perso Reloaded'!$L$22=A248,1,0)</f>
        <v>0</v>
      </c>
      <c r="O248">
        <f>IF('Perso Reloaded'!$L$23=A248,1,0)</f>
        <v>0</v>
      </c>
      <c r="P248">
        <f>IF('Perso Reloaded'!$L$24=A248,1,0)</f>
        <v>0</v>
      </c>
      <c r="Q248">
        <f>IF('Perso Reloaded'!$L$25=A248,1,0)</f>
        <v>0</v>
      </c>
      <c r="R248">
        <f>IF('Perso Reloaded'!$L$26=A248,1,0)</f>
        <v>0</v>
      </c>
      <c r="S248">
        <f>IF('Perso Reloaded'!$L$27=A248,1,0)</f>
        <v>0</v>
      </c>
      <c r="T248">
        <f t="shared" si="9"/>
        <v>0</v>
      </c>
      <c r="U248" t="b">
        <f t="shared" si="10"/>
        <v>0</v>
      </c>
    </row>
    <row r="249" spans="1:21" x14ac:dyDescent="0.3">
      <c r="A249" s="65" t="s">
        <v>280</v>
      </c>
      <c r="B249">
        <f>IF(AtoutsHandicapsMatos!$C$5=A249,1,0)</f>
        <v>0</v>
      </c>
      <c r="C249">
        <f>IF(AtoutsHandicapsMatos!$C$6=A249,1,0)</f>
        <v>0</v>
      </c>
      <c r="D249">
        <f>IF(AtoutsHandicapsMatos!$C$7=A249,1,0)</f>
        <v>0</v>
      </c>
      <c r="E249">
        <f>IF(AtoutsHandicapsMatos!$C$8=A249,1,0)</f>
        <v>0</v>
      </c>
      <c r="F249">
        <f>IF(AtoutsHandicapsMatos!$C$9=A249,1,0)</f>
        <v>0</v>
      </c>
      <c r="G249">
        <f>IF(AtoutsHandicapsMatos!$C$10=A249,1,0)</f>
        <v>0</v>
      </c>
      <c r="H249">
        <f>IF(AtoutsHandicapsMatos!$C$11=A249,1,0)</f>
        <v>0</v>
      </c>
      <c r="I249">
        <f>IF(AtoutsHandicapsMatos!$C$12=A249,1,0)</f>
        <v>0</v>
      </c>
      <c r="J249">
        <f>IF(AtoutsHandicapsMatos!$C$13=A249,1,0)</f>
        <v>0</v>
      </c>
      <c r="K249">
        <f>IF(AtoutsHandicapsMatos!$C$14=A249,1,0)</f>
        <v>0</v>
      </c>
      <c r="L249">
        <f>IF('Perso Reloaded'!$L$20=A249,1,0)</f>
        <v>0</v>
      </c>
      <c r="M249">
        <f>IF('Perso Reloaded'!$L$21=A249,1,0)</f>
        <v>0</v>
      </c>
      <c r="N249">
        <f>IF('Perso Reloaded'!$L$22=A249,1,0)</f>
        <v>0</v>
      </c>
      <c r="O249">
        <f>IF('Perso Reloaded'!$L$23=A249,1,0)</f>
        <v>0</v>
      </c>
      <c r="P249">
        <f>IF('Perso Reloaded'!$L$24=A249,1,0)</f>
        <v>0</v>
      </c>
      <c r="Q249">
        <f>IF('Perso Reloaded'!$L$25=A249,1,0)</f>
        <v>0</v>
      </c>
      <c r="R249">
        <f>IF('Perso Reloaded'!$L$26=A249,1,0)</f>
        <v>0</v>
      </c>
      <c r="S249">
        <f>IF('Perso Reloaded'!$L$27=A249,1,0)</f>
        <v>0</v>
      </c>
      <c r="T249">
        <f t="shared" si="9"/>
        <v>0</v>
      </c>
      <c r="U249" t="b">
        <f t="shared" si="10"/>
        <v>0</v>
      </c>
    </row>
    <row r="250" spans="1:21" x14ac:dyDescent="0.3">
      <c r="A250" s="65" t="s">
        <v>3636</v>
      </c>
      <c r="B250">
        <f>IF(AtoutsHandicapsMatos!$C$5=A250,1,0)</f>
        <v>0</v>
      </c>
      <c r="C250">
        <f>IF(AtoutsHandicapsMatos!$C$6=A250,1,0)</f>
        <v>0</v>
      </c>
      <c r="D250">
        <f>IF(AtoutsHandicapsMatos!$C$7=A250,1,0)</f>
        <v>0</v>
      </c>
      <c r="E250">
        <f>IF(AtoutsHandicapsMatos!$C$8=A250,1,0)</f>
        <v>0</v>
      </c>
      <c r="F250">
        <f>IF(AtoutsHandicapsMatos!$C$9=A250,1,0)</f>
        <v>0</v>
      </c>
      <c r="G250">
        <f>IF(AtoutsHandicapsMatos!$C$10=A250,1,0)</f>
        <v>0</v>
      </c>
      <c r="H250">
        <f>IF(AtoutsHandicapsMatos!$C$11=A250,1,0)</f>
        <v>0</v>
      </c>
      <c r="I250">
        <f>IF(AtoutsHandicapsMatos!$C$12=A250,1,0)</f>
        <v>0</v>
      </c>
      <c r="J250">
        <f>IF(AtoutsHandicapsMatos!$C$13=A250,1,0)</f>
        <v>0</v>
      </c>
      <c r="K250">
        <f>IF(AtoutsHandicapsMatos!$C$14=A250,1,0)</f>
        <v>0</v>
      </c>
      <c r="L250">
        <f>IF('Perso Reloaded'!$L$20=A250,1,0)</f>
        <v>0</v>
      </c>
      <c r="M250">
        <f>IF('Perso Reloaded'!$L$21=A250,1,0)</f>
        <v>0</v>
      </c>
      <c r="N250">
        <f>IF('Perso Reloaded'!$L$22=A250,1,0)</f>
        <v>0</v>
      </c>
      <c r="O250">
        <f>IF('Perso Reloaded'!$L$23=A250,1,0)</f>
        <v>0</v>
      </c>
      <c r="P250">
        <f>IF('Perso Reloaded'!$L$24=A250,1,0)</f>
        <v>0</v>
      </c>
      <c r="Q250">
        <f>IF('Perso Reloaded'!$L$25=A250,1,0)</f>
        <v>0</v>
      </c>
      <c r="R250">
        <f>IF('Perso Reloaded'!$L$26=A250,1,0)</f>
        <v>0</v>
      </c>
      <c r="S250">
        <f>IF('Perso Reloaded'!$L$27=A250,1,0)</f>
        <v>0</v>
      </c>
      <c r="T250">
        <f t="shared" si="9"/>
        <v>0</v>
      </c>
      <c r="U250" t="b">
        <f t="shared" si="10"/>
        <v>0</v>
      </c>
    </row>
    <row r="251" spans="1:21" x14ac:dyDescent="0.3">
      <c r="A251" s="65" t="s">
        <v>3865</v>
      </c>
      <c r="B251">
        <f>IF(AtoutsHandicapsMatos!$C$5=A251,1,0)</f>
        <v>0</v>
      </c>
      <c r="C251">
        <f>IF(AtoutsHandicapsMatos!$C$6=A251,1,0)</f>
        <v>0</v>
      </c>
      <c r="D251">
        <f>IF(AtoutsHandicapsMatos!$C$7=A251,1,0)</f>
        <v>0</v>
      </c>
      <c r="E251">
        <f>IF(AtoutsHandicapsMatos!$C$8=A251,1,0)</f>
        <v>0</v>
      </c>
      <c r="F251">
        <f>IF(AtoutsHandicapsMatos!$C$9=A251,1,0)</f>
        <v>0</v>
      </c>
      <c r="G251">
        <f>IF(AtoutsHandicapsMatos!$C$10=A251,1,0)</f>
        <v>0</v>
      </c>
      <c r="H251">
        <f>IF(AtoutsHandicapsMatos!$C$11=A251,1,0)</f>
        <v>0</v>
      </c>
      <c r="I251">
        <f>IF(AtoutsHandicapsMatos!$C$12=A251,1,0)</f>
        <v>0</v>
      </c>
      <c r="J251">
        <f>IF(AtoutsHandicapsMatos!$C$13=A251,1,0)</f>
        <v>0</v>
      </c>
      <c r="K251">
        <f>IF(AtoutsHandicapsMatos!$C$14=A251,1,0)</f>
        <v>0</v>
      </c>
      <c r="L251">
        <f>IF('Perso Reloaded'!$L$20=A251,1,0)</f>
        <v>0</v>
      </c>
      <c r="M251">
        <f>IF('Perso Reloaded'!$L$21=A251,1,0)</f>
        <v>0</v>
      </c>
      <c r="N251">
        <f>IF('Perso Reloaded'!$L$22=A251,1,0)</f>
        <v>0</v>
      </c>
      <c r="O251">
        <f>IF('Perso Reloaded'!$L$23=A251,1,0)</f>
        <v>0</v>
      </c>
      <c r="P251">
        <f>IF('Perso Reloaded'!$L$24=A251,1,0)</f>
        <v>0</v>
      </c>
      <c r="Q251">
        <f>IF('Perso Reloaded'!$L$25=A251,1,0)</f>
        <v>0</v>
      </c>
      <c r="R251">
        <f>IF('Perso Reloaded'!$L$26=A251,1,0)</f>
        <v>0</v>
      </c>
      <c r="S251">
        <f>IF('Perso Reloaded'!$L$27=A251,1,0)</f>
        <v>0</v>
      </c>
      <c r="T251">
        <f t="shared" si="9"/>
        <v>0</v>
      </c>
      <c r="U251" t="b">
        <f t="shared" si="10"/>
        <v>0</v>
      </c>
    </row>
    <row r="252" spans="1:21" x14ac:dyDescent="0.3">
      <c r="A252" s="65" t="s">
        <v>4705</v>
      </c>
      <c r="B252">
        <f>IF(AtoutsHandicapsMatos!$C$5=A252,1,0)</f>
        <v>0</v>
      </c>
      <c r="C252">
        <f>IF(AtoutsHandicapsMatos!$C$6=A252,1,0)</f>
        <v>0</v>
      </c>
      <c r="D252">
        <f>IF(AtoutsHandicapsMatos!$C$7=A252,1,0)</f>
        <v>0</v>
      </c>
      <c r="E252">
        <f>IF(AtoutsHandicapsMatos!$C$8=A252,1,0)</f>
        <v>0</v>
      </c>
      <c r="F252">
        <f>IF(AtoutsHandicapsMatos!$C$9=A252,1,0)</f>
        <v>0</v>
      </c>
      <c r="G252">
        <f>IF(AtoutsHandicapsMatos!$C$10=A252,1,0)</f>
        <v>0</v>
      </c>
      <c r="H252">
        <f>IF(AtoutsHandicapsMatos!$C$11=A252,1,0)</f>
        <v>0</v>
      </c>
      <c r="I252">
        <f>IF(AtoutsHandicapsMatos!$C$12=A252,1,0)</f>
        <v>0</v>
      </c>
      <c r="J252">
        <f>IF(AtoutsHandicapsMatos!$C$13=A252,1,0)</f>
        <v>0</v>
      </c>
      <c r="K252">
        <f>IF(AtoutsHandicapsMatos!$C$14=A252,1,0)</f>
        <v>0</v>
      </c>
      <c r="L252">
        <f>IF('Perso Reloaded'!$L$20=A252,1,0)</f>
        <v>0</v>
      </c>
      <c r="M252">
        <f>IF('Perso Reloaded'!$L$21=A252,1,0)</f>
        <v>0</v>
      </c>
      <c r="N252">
        <f>IF('Perso Reloaded'!$L$22=A252,1,0)</f>
        <v>0</v>
      </c>
      <c r="O252">
        <f>IF('Perso Reloaded'!$L$23=A252,1,0)</f>
        <v>0</v>
      </c>
      <c r="P252">
        <f>IF('Perso Reloaded'!$L$24=A252,1,0)</f>
        <v>0</v>
      </c>
      <c r="Q252">
        <f>IF('Perso Reloaded'!$L$25=A252,1,0)</f>
        <v>0</v>
      </c>
      <c r="R252">
        <f>IF('Perso Reloaded'!$L$26=A252,1,0)</f>
        <v>0</v>
      </c>
      <c r="S252">
        <f>IF('Perso Reloaded'!$L$27=A252,1,0)</f>
        <v>0</v>
      </c>
      <c r="T252">
        <f t="shared" si="9"/>
        <v>0</v>
      </c>
      <c r="U252" t="b">
        <f t="shared" si="10"/>
        <v>0</v>
      </c>
    </row>
    <row r="253" spans="1:21" x14ac:dyDescent="0.3">
      <c r="A253" s="65" t="s">
        <v>4706</v>
      </c>
      <c r="B253">
        <f>IF(AtoutsHandicapsMatos!$C$5=A253,1,0)</f>
        <v>0</v>
      </c>
      <c r="C253">
        <f>IF(AtoutsHandicapsMatos!$C$6=A253,1,0)</f>
        <v>0</v>
      </c>
      <c r="D253">
        <f>IF(AtoutsHandicapsMatos!$C$7=A253,1,0)</f>
        <v>0</v>
      </c>
      <c r="E253">
        <f>IF(AtoutsHandicapsMatos!$C$8=A253,1,0)</f>
        <v>0</v>
      </c>
      <c r="F253">
        <f>IF(AtoutsHandicapsMatos!$C$9=A253,1,0)</f>
        <v>0</v>
      </c>
      <c r="G253">
        <f>IF(AtoutsHandicapsMatos!$C$10=A253,1,0)</f>
        <v>0</v>
      </c>
      <c r="H253">
        <f>IF(AtoutsHandicapsMatos!$C$11=A253,1,0)</f>
        <v>0</v>
      </c>
      <c r="I253">
        <f>IF(AtoutsHandicapsMatos!$C$12=A253,1,0)</f>
        <v>0</v>
      </c>
      <c r="J253">
        <f>IF(AtoutsHandicapsMatos!$C$13=A253,1,0)</f>
        <v>0</v>
      </c>
      <c r="K253">
        <f>IF(AtoutsHandicapsMatos!$C$14=A253,1,0)</f>
        <v>0</v>
      </c>
      <c r="L253">
        <f>IF('Perso Reloaded'!$L$20=A253,1,0)</f>
        <v>0</v>
      </c>
      <c r="M253">
        <f>IF('Perso Reloaded'!$L$21=A253,1,0)</f>
        <v>0</v>
      </c>
      <c r="N253">
        <f>IF('Perso Reloaded'!$L$22=A253,1,0)</f>
        <v>0</v>
      </c>
      <c r="O253">
        <f>IF('Perso Reloaded'!$L$23=A253,1,0)</f>
        <v>0</v>
      </c>
      <c r="P253">
        <f>IF('Perso Reloaded'!$L$24=A253,1,0)</f>
        <v>0</v>
      </c>
      <c r="Q253">
        <f>IF('Perso Reloaded'!$L$25=A253,1,0)</f>
        <v>0</v>
      </c>
      <c r="R253">
        <f>IF('Perso Reloaded'!$L$26=A253,1,0)</f>
        <v>0</v>
      </c>
      <c r="S253">
        <f>IF('Perso Reloaded'!$L$27=A253,1,0)</f>
        <v>0</v>
      </c>
      <c r="T253">
        <f t="shared" si="9"/>
        <v>0</v>
      </c>
      <c r="U253" t="b">
        <f t="shared" si="10"/>
        <v>0</v>
      </c>
    </row>
    <row r="254" spans="1:21" x14ac:dyDescent="0.3">
      <c r="A254" s="65" t="s">
        <v>4707</v>
      </c>
      <c r="B254">
        <f>IF(AtoutsHandicapsMatos!$C$5=A254,1,0)</f>
        <v>0</v>
      </c>
      <c r="C254">
        <f>IF(AtoutsHandicapsMatos!$C$6=A254,1,0)</f>
        <v>0</v>
      </c>
      <c r="D254">
        <f>IF(AtoutsHandicapsMatos!$C$7=A254,1,0)</f>
        <v>0</v>
      </c>
      <c r="E254">
        <f>IF(AtoutsHandicapsMatos!$C$8=A254,1,0)</f>
        <v>0</v>
      </c>
      <c r="F254">
        <f>IF(AtoutsHandicapsMatos!$C$9=A254,1,0)</f>
        <v>0</v>
      </c>
      <c r="G254">
        <f>IF(AtoutsHandicapsMatos!$C$10=A254,1,0)</f>
        <v>0</v>
      </c>
      <c r="H254">
        <f>IF(AtoutsHandicapsMatos!$C$11=A254,1,0)</f>
        <v>0</v>
      </c>
      <c r="I254">
        <f>IF(AtoutsHandicapsMatos!$C$12=A254,1,0)</f>
        <v>0</v>
      </c>
      <c r="J254">
        <f>IF(AtoutsHandicapsMatos!$C$13=A254,1,0)</f>
        <v>0</v>
      </c>
      <c r="K254">
        <f>IF(AtoutsHandicapsMatos!$C$14=A254,1,0)</f>
        <v>0</v>
      </c>
      <c r="L254">
        <f>IF('Perso Reloaded'!$L$20=A254,1,0)</f>
        <v>0</v>
      </c>
      <c r="M254">
        <f>IF('Perso Reloaded'!$L$21=A254,1,0)</f>
        <v>0</v>
      </c>
      <c r="N254">
        <f>IF('Perso Reloaded'!$L$22=A254,1,0)</f>
        <v>0</v>
      </c>
      <c r="O254">
        <f>IF('Perso Reloaded'!$L$23=A254,1,0)</f>
        <v>0</v>
      </c>
      <c r="P254">
        <f>IF('Perso Reloaded'!$L$24=A254,1,0)</f>
        <v>0</v>
      </c>
      <c r="Q254">
        <f>IF('Perso Reloaded'!$L$25=A254,1,0)</f>
        <v>0</v>
      </c>
      <c r="R254">
        <f>IF('Perso Reloaded'!$L$26=A254,1,0)</f>
        <v>0</v>
      </c>
      <c r="S254">
        <f>IF('Perso Reloaded'!$L$27=A254,1,0)</f>
        <v>0</v>
      </c>
      <c r="T254">
        <f t="shared" si="9"/>
        <v>0</v>
      </c>
      <c r="U254" t="b">
        <f t="shared" si="10"/>
        <v>0</v>
      </c>
    </row>
    <row r="255" spans="1:21" x14ac:dyDescent="0.3">
      <c r="A255" s="65" t="s">
        <v>3637</v>
      </c>
      <c r="B255">
        <f>IF(AtoutsHandicapsMatos!$C$5=A255,1,0)</f>
        <v>0</v>
      </c>
      <c r="C255">
        <f>IF(AtoutsHandicapsMatos!$C$6=A255,1,0)</f>
        <v>0</v>
      </c>
      <c r="D255">
        <f>IF(AtoutsHandicapsMatos!$C$7=A255,1,0)</f>
        <v>0</v>
      </c>
      <c r="E255">
        <f>IF(AtoutsHandicapsMatos!$C$8=A255,1,0)</f>
        <v>0</v>
      </c>
      <c r="F255">
        <f>IF(AtoutsHandicapsMatos!$C$9=A255,1,0)</f>
        <v>0</v>
      </c>
      <c r="G255">
        <f>IF(AtoutsHandicapsMatos!$C$10=A255,1,0)</f>
        <v>0</v>
      </c>
      <c r="H255">
        <f>IF(AtoutsHandicapsMatos!$C$11=A255,1,0)</f>
        <v>0</v>
      </c>
      <c r="I255">
        <f>IF(AtoutsHandicapsMatos!$C$12=A255,1,0)</f>
        <v>0</v>
      </c>
      <c r="J255">
        <f>IF(AtoutsHandicapsMatos!$C$13=A255,1,0)</f>
        <v>0</v>
      </c>
      <c r="K255">
        <f>IF(AtoutsHandicapsMatos!$C$14=A255,1,0)</f>
        <v>0</v>
      </c>
      <c r="L255">
        <f>IF('Perso Reloaded'!$L$20=A255,1,0)</f>
        <v>0</v>
      </c>
      <c r="M255">
        <f>IF('Perso Reloaded'!$L$21=A255,1,0)</f>
        <v>0</v>
      </c>
      <c r="N255">
        <f>IF('Perso Reloaded'!$L$22=A255,1,0)</f>
        <v>0</v>
      </c>
      <c r="O255">
        <f>IF('Perso Reloaded'!$L$23=A255,1,0)</f>
        <v>0</v>
      </c>
      <c r="P255">
        <f>IF('Perso Reloaded'!$L$24=A255,1,0)</f>
        <v>0</v>
      </c>
      <c r="Q255">
        <f>IF('Perso Reloaded'!$L$25=A255,1,0)</f>
        <v>0</v>
      </c>
      <c r="R255">
        <f>IF('Perso Reloaded'!$L$26=A255,1,0)</f>
        <v>0</v>
      </c>
      <c r="S255">
        <f>IF('Perso Reloaded'!$L$27=A255,1,0)</f>
        <v>0</v>
      </c>
      <c r="T255">
        <f t="shared" si="9"/>
        <v>0</v>
      </c>
      <c r="U255" t="b">
        <f t="shared" si="10"/>
        <v>0</v>
      </c>
    </row>
    <row r="256" spans="1:21" x14ac:dyDescent="0.3">
      <c r="A256" s="65" t="s">
        <v>3638</v>
      </c>
      <c r="B256">
        <f>IF(AtoutsHandicapsMatos!$C$5=A256,1,0)</f>
        <v>0</v>
      </c>
      <c r="C256">
        <f>IF(AtoutsHandicapsMatos!$C$6=A256,1,0)</f>
        <v>0</v>
      </c>
      <c r="D256">
        <f>IF(AtoutsHandicapsMatos!$C$7=A256,1,0)</f>
        <v>0</v>
      </c>
      <c r="E256">
        <f>IF(AtoutsHandicapsMatos!$C$8=A256,1,0)</f>
        <v>0</v>
      </c>
      <c r="F256">
        <f>IF(AtoutsHandicapsMatos!$C$9=A256,1,0)</f>
        <v>0</v>
      </c>
      <c r="G256">
        <f>IF(AtoutsHandicapsMatos!$C$10=A256,1,0)</f>
        <v>0</v>
      </c>
      <c r="H256">
        <f>IF(AtoutsHandicapsMatos!$C$11=A256,1,0)</f>
        <v>0</v>
      </c>
      <c r="I256">
        <f>IF(AtoutsHandicapsMatos!$C$12=A256,1,0)</f>
        <v>0</v>
      </c>
      <c r="J256">
        <f>IF(AtoutsHandicapsMatos!$C$13=A256,1,0)</f>
        <v>0</v>
      </c>
      <c r="K256">
        <f>IF(AtoutsHandicapsMatos!$C$14=A256,1,0)</f>
        <v>0</v>
      </c>
      <c r="L256">
        <f>IF('Perso Reloaded'!$L$20=A256,1,0)</f>
        <v>0</v>
      </c>
      <c r="M256">
        <f>IF('Perso Reloaded'!$L$21=A256,1,0)</f>
        <v>0</v>
      </c>
      <c r="N256">
        <f>IF('Perso Reloaded'!$L$22=A256,1,0)</f>
        <v>0</v>
      </c>
      <c r="O256">
        <f>IF('Perso Reloaded'!$L$23=A256,1,0)</f>
        <v>0</v>
      </c>
      <c r="P256">
        <f>IF('Perso Reloaded'!$L$24=A256,1,0)</f>
        <v>0</v>
      </c>
      <c r="Q256">
        <f>IF('Perso Reloaded'!$L$25=A256,1,0)</f>
        <v>0</v>
      </c>
      <c r="R256">
        <f>IF('Perso Reloaded'!$L$26=A256,1,0)</f>
        <v>0</v>
      </c>
      <c r="S256">
        <f>IF('Perso Reloaded'!$L$27=A256,1,0)</f>
        <v>0</v>
      </c>
      <c r="T256">
        <f t="shared" si="9"/>
        <v>0</v>
      </c>
      <c r="U256" t="b">
        <f t="shared" si="10"/>
        <v>0</v>
      </c>
    </row>
    <row r="257" spans="1:21" x14ac:dyDescent="0.3">
      <c r="A257" s="65" t="s">
        <v>3639</v>
      </c>
      <c r="B257">
        <f>IF(AtoutsHandicapsMatos!$C$5=A257,1,0)</f>
        <v>0</v>
      </c>
      <c r="C257">
        <f>IF(AtoutsHandicapsMatos!$C$6=A257,1,0)</f>
        <v>0</v>
      </c>
      <c r="D257">
        <f>IF(AtoutsHandicapsMatos!$C$7=A257,1,0)</f>
        <v>0</v>
      </c>
      <c r="E257">
        <f>IF(AtoutsHandicapsMatos!$C$8=A257,1,0)</f>
        <v>0</v>
      </c>
      <c r="F257">
        <f>IF(AtoutsHandicapsMatos!$C$9=A257,1,0)</f>
        <v>0</v>
      </c>
      <c r="G257">
        <f>IF(AtoutsHandicapsMatos!$C$10=A257,1,0)</f>
        <v>0</v>
      </c>
      <c r="H257">
        <f>IF(AtoutsHandicapsMatos!$C$11=A257,1,0)</f>
        <v>0</v>
      </c>
      <c r="I257">
        <f>IF(AtoutsHandicapsMatos!$C$12=A257,1,0)</f>
        <v>0</v>
      </c>
      <c r="J257">
        <f>IF(AtoutsHandicapsMatos!$C$13=A257,1,0)</f>
        <v>0</v>
      </c>
      <c r="K257">
        <f>IF(AtoutsHandicapsMatos!$C$14=A257,1,0)</f>
        <v>0</v>
      </c>
      <c r="L257">
        <f>IF('Perso Reloaded'!$L$20=A257,1,0)</f>
        <v>0</v>
      </c>
      <c r="M257">
        <f>IF('Perso Reloaded'!$L$21=A257,1,0)</f>
        <v>0</v>
      </c>
      <c r="N257">
        <f>IF('Perso Reloaded'!$L$22=A257,1,0)</f>
        <v>0</v>
      </c>
      <c r="O257">
        <f>IF('Perso Reloaded'!$L$23=A257,1,0)</f>
        <v>0</v>
      </c>
      <c r="P257">
        <f>IF('Perso Reloaded'!$L$24=A257,1,0)</f>
        <v>0</v>
      </c>
      <c r="Q257">
        <f>IF('Perso Reloaded'!$L$25=A257,1,0)</f>
        <v>0</v>
      </c>
      <c r="R257">
        <f>IF('Perso Reloaded'!$L$26=A257,1,0)</f>
        <v>0</v>
      </c>
      <c r="S257">
        <f>IF('Perso Reloaded'!$L$27=A257,1,0)</f>
        <v>0</v>
      </c>
      <c r="T257">
        <f t="shared" si="9"/>
        <v>0</v>
      </c>
      <c r="U257" t="b">
        <f t="shared" si="10"/>
        <v>0</v>
      </c>
    </row>
    <row r="258" spans="1:21" x14ac:dyDescent="0.3">
      <c r="A258" s="65" t="s">
        <v>3640</v>
      </c>
      <c r="B258">
        <f>IF(AtoutsHandicapsMatos!$C$5=A258,1,0)</f>
        <v>0</v>
      </c>
      <c r="C258">
        <f>IF(AtoutsHandicapsMatos!$C$6=A258,1,0)</f>
        <v>0</v>
      </c>
      <c r="D258">
        <f>IF(AtoutsHandicapsMatos!$C$7=A258,1,0)</f>
        <v>0</v>
      </c>
      <c r="E258">
        <f>IF(AtoutsHandicapsMatos!$C$8=A258,1,0)</f>
        <v>0</v>
      </c>
      <c r="F258">
        <f>IF(AtoutsHandicapsMatos!$C$9=A258,1,0)</f>
        <v>0</v>
      </c>
      <c r="G258">
        <f>IF(AtoutsHandicapsMatos!$C$10=A258,1,0)</f>
        <v>0</v>
      </c>
      <c r="H258">
        <f>IF(AtoutsHandicapsMatos!$C$11=A258,1,0)</f>
        <v>0</v>
      </c>
      <c r="I258">
        <f>IF(AtoutsHandicapsMatos!$C$12=A258,1,0)</f>
        <v>0</v>
      </c>
      <c r="J258">
        <f>IF(AtoutsHandicapsMatos!$C$13=A258,1,0)</f>
        <v>0</v>
      </c>
      <c r="K258">
        <f>IF(AtoutsHandicapsMatos!$C$14=A258,1,0)</f>
        <v>0</v>
      </c>
      <c r="L258">
        <f>IF('Perso Reloaded'!$L$20=A258,1,0)</f>
        <v>0</v>
      </c>
      <c r="M258">
        <f>IF('Perso Reloaded'!$L$21=A258,1,0)</f>
        <v>0</v>
      </c>
      <c r="N258">
        <f>IF('Perso Reloaded'!$L$22=A258,1,0)</f>
        <v>0</v>
      </c>
      <c r="O258">
        <f>IF('Perso Reloaded'!$L$23=A258,1,0)</f>
        <v>0</v>
      </c>
      <c r="P258">
        <f>IF('Perso Reloaded'!$L$24=A258,1,0)</f>
        <v>0</v>
      </c>
      <c r="Q258">
        <f>IF('Perso Reloaded'!$L$25=A258,1,0)</f>
        <v>0</v>
      </c>
      <c r="R258">
        <f>IF('Perso Reloaded'!$L$26=A258,1,0)</f>
        <v>0</v>
      </c>
      <c r="S258">
        <f>IF('Perso Reloaded'!$L$27=A258,1,0)</f>
        <v>0</v>
      </c>
      <c r="T258">
        <f t="shared" si="9"/>
        <v>0</v>
      </c>
      <c r="U258" t="b">
        <f t="shared" si="10"/>
        <v>0</v>
      </c>
    </row>
    <row r="259" spans="1:21" x14ac:dyDescent="0.3">
      <c r="A259" s="65" t="s">
        <v>3641</v>
      </c>
      <c r="B259">
        <f>IF(AtoutsHandicapsMatos!$C$5=A259,1,0)</f>
        <v>0</v>
      </c>
      <c r="C259">
        <f>IF(AtoutsHandicapsMatos!$C$6=A259,1,0)</f>
        <v>0</v>
      </c>
      <c r="D259">
        <f>IF(AtoutsHandicapsMatos!$C$7=A259,1,0)</f>
        <v>0</v>
      </c>
      <c r="E259">
        <f>IF(AtoutsHandicapsMatos!$C$8=A259,1,0)</f>
        <v>0</v>
      </c>
      <c r="F259">
        <f>IF(AtoutsHandicapsMatos!$C$9=A259,1,0)</f>
        <v>0</v>
      </c>
      <c r="G259">
        <f>IF(AtoutsHandicapsMatos!$C$10=A259,1,0)</f>
        <v>0</v>
      </c>
      <c r="H259">
        <f>IF(AtoutsHandicapsMatos!$C$11=A259,1,0)</f>
        <v>0</v>
      </c>
      <c r="I259">
        <f>IF(AtoutsHandicapsMatos!$C$12=A259,1,0)</f>
        <v>0</v>
      </c>
      <c r="J259">
        <f>IF(AtoutsHandicapsMatos!$C$13=A259,1,0)</f>
        <v>0</v>
      </c>
      <c r="K259">
        <f>IF(AtoutsHandicapsMatos!$C$14=A259,1,0)</f>
        <v>0</v>
      </c>
      <c r="L259">
        <f>IF('Perso Reloaded'!$L$20=A259,1,0)</f>
        <v>0</v>
      </c>
      <c r="M259">
        <f>IF('Perso Reloaded'!$L$21=A259,1,0)</f>
        <v>0</v>
      </c>
      <c r="N259">
        <f>IF('Perso Reloaded'!$L$22=A259,1,0)</f>
        <v>0</v>
      </c>
      <c r="O259">
        <f>IF('Perso Reloaded'!$L$23=A259,1,0)</f>
        <v>0</v>
      </c>
      <c r="P259">
        <f>IF('Perso Reloaded'!$L$24=A259,1,0)</f>
        <v>0</v>
      </c>
      <c r="Q259">
        <f>IF('Perso Reloaded'!$L$25=A259,1,0)</f>
        <v>0</v>
      </c>
      <c r="R259">
        <f>IF('Perso Reloaded'!$L$26=A259,1,0)</f>
        <v>0</v>
      </c>
      <c r="S259">
        <f>IF('Perso Reloaded'!$L$27=A259,1,0)</f>
        <v>0</v>
      </c>
      <c r="T259">
        <f t="shared" si="9"/>
        <v>0</v>
      </c>
      <c r="U259" t="b">
        <f t="shared" si="10"/>
        <v>0</v>
      </c>
    </row>
    <row r="260" spans="1:21" x14ac:dyDescent="0.3">
      <c r="A260" s="65" t="s">
        <v>5153</v>
      </c>
      <c r="B260">
        <f>IF(AtoutsHandicapsMatos!$C$5=A260,1,0)</f>
        <v>0</v>
      </c>
      <c r="C260">
        <f>IF(AtoutsHandicapsMatos!$C$6=A260,1,0)</f>
        <v>0</v>
      </c>
      <c r="D260">
        <f>IF(AtoutsHandicapsMatos!$C$7=A260,1,0)</f>
        <v>0</v>
      </c>
      <c r="E260">
        <f>IF(AtoutsHandicapsMatos!$C$8=A260,1,0)</f>
        <v>0</v>
      </c>
      <c r="F260">
        <f>IF(AtoutsHandicapsMatos!$C$9=A260,1,0)</f>
        <v>0</v>
      </c>
      <c r="G260">
        <f>IF(AtoutsHandicapsMatos!$C$10=A260,1,0)</f>
        <v>0</v>
      </c>
      <c r="H260">
        <f>IF(AtoutsHandicapsMatos!$C$11=A260,1,0)</f>
        <v>0</v>
      </c>
      <c r="I260">
        <f>IF(AtoutsHandicapsMatos!$C$12=A260,1,0)</f>
        <v>0</v>
      </c>
      <c r="J260">
        <f>IF(AtoutsHandicapsMatos!$C$13=A260,1,0)</f>
        <v>0</v>
      </c>
      <c r="K260">
        <f>IF(AtoutsHandicapsMatos!$C$14=A260,1,0)</f>
        <v>0</v>
      </c>
      <c r="L260">
        <f>IF('Perso Reloaded'!$L$20=A260,1,0)</f>
        <v>0</v>
      </c>
      <c r="M260">
        <f>IF('Perso Reloaded'!$L$21=A260,1,0)</f>
        <v>0</v>
      </c>
      <c r="N260">
        <f>IF('Perso Reloaded'!$L$22=A260,1,0)</f>
        <v>0</v>
      </c>
      <c r="O260">
        <f>IF('Perso Reloaded'!$L$23=A260,1,0)</f>
        <v>0</v>
      </c>
      <c r="P260">
        <f>IF('Perso Reloaded'!$L$24=A260,1,0)</f>
        <v>0</v>
      </c>
      <c r="Q260">
        <f>IF('Perso Reloaded'!$L$25=A260,1,0)</f>
        <v>0</v>
      </c>
      <c r="R260">
        <f>IF('Perso Reloaded'!$L$26=A260,1,0)</f>
        <v>0</v>
      </c>
      <c r="S260">
        <f>IF('Perso Reloaded'!$L$27=A260,1,0)</f>
        <v>0</v>
      </c>
      <c r="T260">
        <f t="shared" si="9"/>
        <v>0</v>
      </c>
      <c r="U260" t="b">
        <f t="shared" si="10"/>
        <v>0</v>
      </c>
    </row>
    <row r="261" spans="1:21" x14ac:dyDescent="0.3">
      <c r="A261" s="65" t="s">
        <v>3289</v>
      </c>
      <c r="B261">
        <f>IF(AtoutsHandicapsMatos!$C$5=A261,1,0)</f>
        <v>0</v>
      </c>
      <c r="C261">
        <f>IF(AtoutsHandicapsMatos!$C$6=A261,1,0)</f>
        <v>0</v>
      </c>
      <c r="D261">
        <f>IF(AtoutsHandicapsMatos!$C$7=A261,1,0)</f>
        <v>0</v>
      </c>
      <c r="E261">
        <f>IF(AtoutsHandicapsMatos!$C$8=A261,1,0)</f>
        <v>0</v>
      </c>
      <c r="F261">
        <f>IF(AtoutsHandicapsMatos!$C$9=A261,1,0)</f>
        <v>0</v>
      </c>
      <c r="G261">
        <f>IF(AtoutsHandicapsMatos!$C$10=A261,1,0)</f>
        <v>0</v>
      </c>
      <c r="H261">
        <f>IF(AtoutsHandicapsMatos!$C$11=A261,1,0)</f>
        <v>0</v>
      </c>
      <c r="I261">
        <f>IF(AtoutsHandicapsMatos!$C$12=A261,1,0)</f>
        <v>0</v>
      </c>
      <c r="J261">
        <f>IF(AtoutsHandicapsMatos!$C$13=A261,1,0)</f>
        <v>0</v>
      </c>
      <c r="K261">
        <f>IF(AtoutsHandicapsMatos!$C$14=A261,1,0)</f>
        <v>0</v>
      </c>
      <c r="L261">
        <f>IF('Perso Reloaded'!$L$20=A261,1,0)</f>
        <v>0</v>
      </c>
      <c r="M261">
        <f>IF('Perso Reloaded'!$L$21=A261,1,0)</f>
        <v>0</v>
      </c>
      <c r="N261">
        <f>IF('Perso Reloaded'!$L$22=A261,1,0)</f>
        <v>0</v>
      </c>
      <c r="O261">
        <f>IF('Perso Reloaded'!$L$23=A261,1,0)</f>
        <v>0</v>
      </c>
      <c r="P261">
        <f>IF('Perso Reloaded'!$L$24=A261,1,0)</f>
        <v>0</v>
      </c>
      <c r="Q261">
        <f>IF('Perso Reloaded'!$L$25=A261,1,0)</f>
        <v>0</v>
      </c>
      <c r="R261">
        <f>IF('Perso Reloaded'!$L$26=A261,1,0)</f>
        <v>0</v>
      </c>
      <c r="S261">
        <f>IF('Perso Reloaded'!$L$27=A261,1,0)</f>
        <v>0</v>
      </c>
      <c r="T261">
        <f t="shared" si="9"/>
        <v>0</v>
      </c>
      <c r="U261" t="b">
        <f t="shared" si="10"/>
        <v>0</v>
      </c>
    </row>
    <row r="262" spans="1:21" x14ac:dyDescent="0.3">
      <c r="A262" s="65" t="s">
        <v>3477</v>
      </c>
      <c r="B262">
        <f>IF(AtoutsHandicapsMatos!$C$5=A262,1,0)</f>
        <v>0</v>
      </c>
      <c r="C262">
        <f>IF(AtoutsHandicapsMatos!$C$6=A262,1,0)</f>
        <v>0</v>
      </c>
      <c r="D262">
        <f>IF(AtoutsHandicapsMatos!$C$7=A262,1,0)</f>
        <v>0</v>
      </c>
      <c r="E262">
        <f>IF(AtoutsHandicapsMatos!$C$8=A262,1,0)</f>
        <v>0</v>
      </c>
      <c r="F262">
        <f>IF(AtoutsHandicapsMatos!$C$9=A262,1,0)</f>
        <v>0</v>
      </c>
      <c r="G262">
        <f>IF(AtoutsHandicapsMatos!$C$10=A262,1,0)</f>
        <v>0</v>
      </c>
      <c r="H262">
        <f>IF(AtoutsHandicapsMatos!$C$11=A262,1,0)</f>
        <v>0</v>
      </c>
      <c r="I262">
        <f>IF(AtoutsHandicapsMatos!$C$12=A262,1,0)</f>
        <v>0</v>
      </c>
      <c r="J262">
        <f>IF(AtoutsHandicapsMatos!$C$13=A262,1,0)</f>
        <v>0</v>
      </c>
      <c r="K262">
        <f>IF(AtoutsHandicapsMatos!$C$14=A262,1,0)</f>
        <v>0</v>
      </c>
      <c r="L262">
        <f>IF('Perso Reloaded'!$L$20=A262,1,0)</f>
        <v>0</v>
      </c>
      <c r="M262">
        <f>IF('Perso Reloaded'!$L$21=A262,1,0)</f>
        <v>0</v>
      </c>
      <c r="N262">
        <f>IF('Perso Reloaded'!$L$22=A262,1,0)</f>
        <v>0</v>
      </c>
      <c r="O262">
        <f>IF('Perso Reloaded'!$L$23=A262,1,0)</f>
        <v>0</v>
      </c>
      <c r="P262">
        <f>IF('Perso Reloaded'!$L$24=A262,1,0)</f>
        <v>0</v>
      </c>
      <c r="Q262">
        <f>IF('Perso Reloaded'!$L$25=A262,1,0)</f>
        <v>0</v>
      </c>
      <c r="R262">
        <f>IF('Perso Reloaded'!$L$26=A262,1,0)</f>
        <v>0</v>
      </c>
      <c r="S262">
        <f>IF('Perso Reloaded'!$L$27=A262,1,0)</f>
        <v>0</v>
      </c>
      <c r="T262">
        <f t="shared" si="9"/>
        <v>0</v>
      </c>
      <c r="U262" t="b">
        <f t="shared" si="10"/>
        <v>0</v>
      </c>
    </row>
    <row r="263" spans="1:21" x14ac:dyDescent="0.3">
      <c r="A263" s="65" t="s">
        <v>5194</v>
      </c>
      <c r="B263">
        <f>IF(AtoutsHandicapsMatos!$C$5=A263,1,0)</f>
        <v>0</v>
      </c>
      <c r="C263">
        <f>IF(AtoutsHandicapsMatos!$C$6=A263,1,0)</f>
        <v>0</v>
      </c>
      <c r="D263">
        <f>IF(AtoutsHandicapsMatos!$C$7=A263,1,0)</f>
        <v>0</v>
      </c>
      <c r="E263">
        <f>IF(AtoutsHandicapsMatos!$C$8=A263,1,0)</f>
        <v>0</v>
      </c>
      <c r="F263">
        <f>IF(AtoutsHandicapsMatos!$C$9=A263,1,0)</f>
        <v>0</v>
      </c>
      <c r="G263">
        <f>IF(AtoutsHandicapsMatos!$C$10=A263,1,0)</f>
        <v>0</v>
      </c>
      <c r="H263">
        <f>IF(AtoutsHandicapsMatos!$C$11=A263,1,0)</f>
        <v>0</v>
      </c>
      <c r="I263">
        <f>IF(AtoutsHandicapsMatos!$C$12=A263,1,0)</f>
        <v>0</v>
      </c>
      <c r="J263">
        <f>IF(AtoutsHandicapsMatos!$C$13=A263,1,0)</f>
        <v>0</v>
      </c>
      <c r="K263">
        <f>IF(AtoutsHandicapsMatos!$C$14=A263,1,0)</f>
        <v>0</v>
      </c>
      <c r="L263">
        <f>IF('Perso Reloaded'!$L$20=A263,1,0)</f>
        <v>0</v>
      </c>
      <c r="M263">
        <f>IF('Perso Reloaded'!$L$21=A263,1,0)</f>
        <v>0</v>
      </c>
      <c r="N263">
        <f>IF('Perso Reloaded'!$L$22=A263,1,0)</f>
        <v>0</v>
      </c>
      <c r="O263">
        <f>IF('Perso Reloaded'!$L$23=A263,1,0)</f>
        <v>0</v>
      </c>
      <c r="P263">
        <f>IF('Perso Reloaded'!$L$24=A263,1,0)</f>
        <v>0</v>
      </c>
      <c r="Q263">
        <f>IF('Perso Reloaded'!$L$25=A263,1,0)</f>
        <v>0</v>
      </c>
      <c r="R263">
        <f>IF('Perso Reloaded'!$L$26=A263,1,0)</f>
        <v>0</v>
      </c>
      <c r="S263">
        <f>IF('Perso Reloaded'!$L$27=A263,1,0)</f>
        <v>0</v>
      </c>
      <c r="T263">
        <f t="shared" ref="T263:T327" si="13">SUM(B263:S263)</f>
        <v>0</v>
      </c>
      <c r="U263" t="b">
        <f t="shared" ref="U263:U327" si="14">IF(T263=0,FALSE,TRUE)</f>
        <v>0</v>
      </c>
    </row>
    <row r="264" spans="1:21" x14ac:dyDescent="0.3">
      <c r="A264" s="65" t="s">
        <v>5195</v>
      </c>
      <c r="B264">
        <f>IF(AtoutsHandicapsMatos!$C$5=A264,1,0)</f>
        <v>0</v>
      </c>
      <c r="C264">
        <f>IF(AtoutsHandicapsMatos!$C$6=A264,1,0)</f>
        <v>0</v>
      </c>
      <c r="D264">
        <f>IF(AtoutsHandicapsMatos!$C$7=A264,1,0)</f>
        <v>0</v>
      </c>
      <c r="E264">
        <f>IF(AtoutsHandicapsMatos!$C$8=A264,1,0)</f>
        <v>0</v>
      </c>
      <c r="F264">
        <f>IF(AtoutsHandicapsMatos!$C$9=A264,1,0)</f>
        <v>0</v>
      </c>
      <c r="G264">
        <f>IF(AtoutsHandicapsMatos!$C$10=A264,1,0)</f>
        <v>0</v>
      </c>
      <c r="H264">
        <f>IF(AtoutsHandicapsMatos!$C$11=A264,1,0)</f>
        <v>0</v>
      </c>
      <c r="I264">
        <f>IF(AtoutsHandicapsMatos!$C$12=A264,1,0)</f>
        <v>0</v>
      </c>
      <c r="J264">
        <f>IF(AtoutsHandicapsMatos!$C$13=A264,1,0)</f>
        <v>0</v>
      </c>
      <c r="K264">
        <f>IF(AtoutsHandicapsMatos!$C$14=A264,1,0)</f>
        <v>0</v>
      </c>
      <c r="L264">
        <f>IF('Perso Reloaded'!$L$20=A264,1,0)</f>
        <v>0</v>
      </c>
      <c r="M264">
        <f>IF('Perso Reloaded'!$L$21=A264,1,0)</f>
        <v>0</v>
      </c>
      <c r="N264">
        <f>IF('Perso Reloaded'!$L$22=A264,1,0)</f>
        <v>0</v>
      </c>
      <c r="O264">
        <f>IF('Perso Reloaded'!$L$23=A264,1,0)</f>
        <v>0</v>
      </c>
      <c r="P264">
        <f>IF('Perso Reloaded'!$L$24=A264,1,0)</f>
        <v>0</v>
      </c>
      <c r="Q264">
        <f>IF('Perso Reloaded'!$L$25=A264,1,0)</f>
        <v>0</v>
      </c>
      <c r="R264">
        <f>IF('Perso Reloaded'!$L$26=A264,1,0)</f>
        <v>0</v>
      </c>
      <c r="S264">
        <f>IF('Perso Reloaded'!$L$27=A264,1,0)</f>
        <v>0</v>
      </c>
      <c r="T264">
        <f t="shared" si="13"/>
        <v>0</v>
      </c>
      <c r="U264" t="b">
        <f t="shared" si="14"/>
        <v>0</v>
      </c>
    </row>
    <row r="265" spans="1:21" x14ac:dyDescent="0.3">
      <c r="A265" s="65" t="str">
        <f>IF(OR(SexePerso="Féminin",'Perso Reloaded'!$C$6="Féminin"),"Professionnelle","Professionnel")</f>
        <v>Professionnel</v>
      </c>
      <c r="B265">
        <f>IF(AtoutsHandicapsMatos!$C$5=A265,1,0)</f>
        <v>0</v>
      </c>
      <c r="C265">
        <f>IF(AtoutsHandicapsMatos!$C$6=A265,1,0)</f>
        <v>0</v>
      </c>
      <c r="D265">
        <f>IF(AtoutsHandicapsMatos!$C$7=A265,1,0)</f>
        <v>0</v>
      </c>
      <c r="E265">
        <f>IF(AtoutsHandicapsMatos!$C$8=A265,1,0)</f>
        <v>0</v>
      </c>
      <c r="F265">
        <f>IF(AtoutsHandicapsMatos!$C$9=A265,1,0)</f>
        <v>0</v>
      </c>
      <c r="G265">
        <f>IF(AtoutsHandicapsMatos!$C$10=A265,1,0)</f>
        <v>0</v>
      </c>
      <c r="H265">
        <f>IF(AtoutsHandicapsMatos!$C$11=A265,1,0)</f>
        <v>0</v>
      </c>
      <c r="I265">
        <f>IF(AtoutsHandicapsMatos!$C$12=A265,1,0)</f>
        <v>0</v>
      </c>
      <c r="J265">
        <f>IF(AtoutsHandicapsMatos!$C$13=A265,1,0)</f>
        <v>0</v>
      </c>
      <c r="K265">
        <f>IF(AtoutsHandicapsMatos!$C$14=A265,1,0)</f>
        <v>0</v>
      </c>
      <c r="L265">
        <f>IF('Perso Reloaded'!$L$20=A265,1,0)</f>
        <v>0</v>
      </c>
      <c r="M265">
        <f>IF('Perso Reloaded'!$L$21=A265,1,0)</f>
        <v>0</v>
      </c>
      <c r="N265">
        <f>IF('Perso Reloaded'!$L$22=A265,1,0)</f>
        <v>0</v>
      </c>
      <c r="O265">
        <f>IF('Perso Reloaded'!$L$23=A265,1,0)</f>
        <v>0</v>
      </c>
      <c r="P265">
        <f>IF('Perso Reloaded'!$L$24=A265,1,0)</f>
        <v>0</v>
      </c>
      <c r="Q265">
        <f>IF('Perso Reloaded'!$L$25=A265,1,0)</f>
        <v>0</v>
      </c>
      <c r="R265">
        <f>IF('Perso Reloaded'!$L$26=A265,1,0)</f>
        <v>0</v>
      </c>
      <c r="S265">
        <f>IF('Perso Reloaded'!$L$27=A265,1,0)</f>
        <v>0</v>
      </c>
      <c r="T265">
        <f t="shared" si="13"/>
        <v>0</v>
      </c>
      <c r="U265" t="b">
        <f t="shared" si="14"/>
        <v>0</v>
      </c>
    </row>
    <row r="266" spans="1:21" x14ac:dyDescent="0.3">
      <c r="A266" s="65" t="s">
        <v>3389</v>
      </c>
      <c r="B266">
        <f>IF(AtoutsHandicapsMatos!$C$5=A266,1,0)</f>
        <v>0</v>
      </c>
      <c r="C266">
        <f>IF(AtoutsHandicapsMatos!$C$6=A266,1,0)</f>
        <v>0</v>
      </c>
      <c r="D266">
        <f>IF(AtoutsHandicapsMatos!$C$7=A266,1,0)</f>
        <v>0</v>
      </c>
      <c r="E266">
        <f>IF(AtoutsHandicapsMatos!$C$8=A266,1,0)</f>
        <v>0</v>
      </c>
      <c r="F266">
        <f>IF(AtoutsHandicapsMatos!$C$9=A266,1,0)</f>
        <v>0</v>
      </c>
      <c r="G266">
        <f>IF(AtoutsHandicapsMatos!$C$10=A266,1,0)</f>
        <v>0</v>
      </c>
      <c r="H266">
        <f>IF(AtoutsHandicapsMatos!$C$11=A266,1,0)</f>
        <v>0</v>
      </c>
      <c r="I266">
        <f>IF(AtoutsHandicapsMatos!$C$12=A266,1,0)</f>
        <v>0</v>
      </c>
      <c r="J266">
        <f>IF(AtoutsHandicapsMatos!$C$13=A266,1,0)</f>
        <v>0</v>
      </c>
      <c r="K266">
        <f>IF(AtoutsHandicapsMatos!$C$14=A266,1,0)</f>
        <v>0</v>
      </c>
      <c r="L266">
        <f>IF('Perso Reloaded'!$L$20=A266,1,0)</f>
        <v>0</v>
      </c>
      <c r="M266">
        <f>IF('Perso Reloaded'!$L$21=A266,1,0)</f>
        <v>0</v>
      </c>
      <c r="N266">
        <f>IF('Perso Reloaded'!$L$22=A266,1,0)</f>
        <v>0</v>
      </c>
      <c r="O266">
        <f>IF('Perso Reloaded'!$L$23=A266,1,0)</f>
        <v>0</v>
      </c>
      <c r="P266">
        <f>IF('Perso Reloaded'!$L$24=A266,1,0)</f>
        <v>0</v>
      </c>
      <c r="Q266">
        <f>IF('Perso Reloaded'!$L$25=A266,1,0)</f>
        <v>0</v>
      </c>
      <c r="R266">
        <f>IF('Perso Reloaded'!$L$26=A266,1,0)</f>
        <v>0</v>
      </c>
      <c r="S266">
        <f>IF('Perso Reloaded'!$L$27=A266,1,0)</f>
        <v>0</v>
      </c>
      <c r="T266">
        <f t="shared" si="13"/>
        <v>0</v>
      </c>
      <c r="U266" t="b">
        <f t="shared" si="14"/>
        <v>0</v>
      </c>
    </row>
    <row r="267" spans="1:21" x14ac:dyDescent="0.3">
      <c r="A267" s="65" t="s">
        <v>5202</v>
      </c>
      <c r="B267">
        <f>IF(AtoutsHandicapsMatos!$C$5=A267,1,0)</f>
        <v>0</v>
      </c>
      <c r="C267">
        <f>IF(AtoutsHandicapsMatos!$C$6=A267,1,0)</f>
        <v>0</v>
      </c>
      <c r="D267">
        <f>IF(AtoutsHandicapsMatos!$C$7=A267,1,0)</f>
        <v>0</v>
      </c>
      <c r="E267">
        <f>IF(AtoutsHandicapsMatos!$C$8=A267,1,0)</f>
        <v>0</v>
      </c>
      <c r="F267">
        <f>IF(AtoutsHandicapsMatos!$C$9=A267,1,0)</f>
        <v>0</v>
      </c>
      <c r="G267">
        <f>IF(AtoutsHandicapsMatos!$C$10=A267,1,0)</f>
        <v>0</v>
      </c>
      <c r="H267">
        <f>IF(AtoutsHandicapsMatos!$C$11=A267,1,0)</f>
        <v>0</v>
      </c>
      <c r="I267">
        <f>IF(AtoutsHandicapsMatos!$C$12=A267,1,0)</f>
        <v>0</v>
      </c>
      <c r="J267">
        <f>IF(AtoutsHandicapsMatos!$C$13=A267,1,0)</f>
        <v>0</v>
      </c>
      <c r="K267">
        <f>IF(AtoutsHandicapsMatos!$C$14=A267,1,0)</f>
        <v>0</v>
      </c>
      <c r="L267">
        <f>IF('Perso Reloaded'!$L$20=A267,1,0)</f>
        <v>0</v>
      </c>
      <c r="M267">
        <f>IF('Perso Reloaded'!$L$21=A267,1,0)</f>
        <v>0</v>
      </c>
      <c r="N267">
        <f>IF('Perso Reloaded'!$L$22=A267,1,0)</f>
        <v>0</v>
      </c>
      <c r="O267">
        <f>IF('Perso Reloaded'!$L$23=A267,1,0)</f>
        <v>0</v>
      </c>
      <c r="P267">
        <f>IF('Perso Reloaded'!$L$24=A267,1,0)</f>
        <v>0</v>
      </c>
      <c r="Q267">
        <f>IF('Perso Reloaded'!$L$25=A267,1,0)</f>
        <v>0</v>
      </c>
      <c r="R267">
        <f>IF('Perso Reloaded'!$L$26=A267,1,0)</f>
        <v>0</v>
      </c>
      <c r="S267">
        <f>IF('Perso Reloaded'!$L$27=A267,1,0)</f>
        <v>0</v>
      </c>
      <c r="T267">
        <f t="shared" si="13"/>
        <v>0</v>
      </c>
      <c r="U267" t="b">
        <f t="shared" si="14"/>
        <v>0</v>
      </c>
    </row>
    <row r="268" spans="1:21" x14ac:dyDescent="0.3">
      <c r="A268" s="65" t="s">
        <v>3292</v>
      </c>
      <c r="B268">
        <f>IF(AtoutsHandicapsMatos!$C$5=A268,1,0)</f>
        <v>0</v>
      </c>
      <c r="C268">
        <f>IF(AtoutsHandicapsMatos!$C$6=A268,1,0)</f>
        <v>0</v>
      </c>
      <c r="D268">
        <f>IF(AtoutsHandicapsMatos!$C$7=A268,1,0)</f>
        <v>0</v>
      </c>
      <c r="E268">
        <f>IF(AtoutsHandicapsMatos!$C$8=A268,1,0)</f>
        <v>0</v>
      </c>
      <c r="F268">
        <f>IF(AtoutsHandicapsMatos!$C$9=A268,1,0)</f>
        <v>0</v>
      </c>
      <c r="G268">
        <f>IF(AtoutsHandicapsMatos!$C$10=A268,1,0)</f>
        <v>0</v>
      </c>
      <c r="H268">
        <f>IF(AtoutsHandicapsMatos!$C$11=A268,1,0)</f>
        <v>0</v>
      </c>
      <c r="I268">
        <f>IF(AtoutsHandicapsMatos!$C$12=A268,1,0)</f>
        <v>0</v>
      </c>
      <c r="J268">
        <f>IF(AtoutsHandicapsMatos!$C$13=A268,1,0)</f>
        <v>0</v>
      </c>
      <c r="K268">
        <f>IF(AtoutsHandicapsMatos!$C$14=A268,1,0)</f>
        <v>0</v>
      </c>
      <c r="L268">
        <f>IF('Perso Reloaded'!$L$20=A268,1,0)</f>
        <v>0</v>
      </c>
      <c r="M268">
        <f>IF('Perso Reloaded'!$L$21=A268,1,0)</f>
        <v>0</v>
      </c>
      <c r="N268">
        <f>IF('Perso Reloaded'!$L$22=A268,1,0)</f>
        <v>0</v>
      </c>
      <c r="O268">
        <f>IF('Perso Reloaded'!$L$23=A268,1,0)</f>
        <v>0</v>
      </c>
      <c r="P268">
        <f>IF('Perso Reloaded'!$L$24=A268,1,0)</f>
        <v>0</v>
      </c>
      <c r="Q268">
        <f>IF('Perso Reloaded'!$L$25=A268,1,0)</f>
        <v>0</v>
      </c>
      <c r="R268">
        <f>IF('Perso Reloaded'!$L$26=A268,1,0)</f>
        <v>0</v>
      </c>
      <c r="S268">
        <f>IF('Perso Reloaded'!$L$27=A268,1,0)</f>
        <v>0</v>
      </c>
      <c r="T268">
        <f t="shared" si="13"/>
        <v>0</v>
      </c>
      <c r="U268" t="b">
        <f t="shared" si="14"/>
        <v>0</v>
      </c>
    </row>
    <row r="269" spans="1:21" x14ac:dyDescent="0.3">
      <c r="A269" s="65" t="str">
        <f>IF(OR(SexePerso="Féminin",'Perso Reloaded'!$C$6="Féminin"),"Recycleuse","Recycleur")</f>
        <v>Recycleur</v>
      </c>
      <c r="B269">
        <f>IF(AtoutsHandicapsMatos!$C$5=A269,1,0)</f>
        <v>0</v>
      </c>
      <c r="C269">
        <f>IF(AtoutsHandicapsMatos!$C$6=A269,1,0)</f>
        <v>0</v>
      </c>
      <c r="D269">
        <f>IF(AtoutsHandicapsMatos!$C$7=A269,1,0)</f>
        <v>0</v>
      </c>
      <c r="E269">
        <f>IF(AtoutsHandicapsMatos!$C$8=A269,1,0)</f>
        <v>0</v>
      </c>
      <c r="F269">
        <f>IF(AtoutsHandicapsMatos!$C$9=A269,1,0)</f>
        <v>0</v>
      </c>
      <c r="G269">
        <f>IF(AtoutsHandicapsMatos!$C$10=A269,1,0)</f>
        <v>0</v>
      </c>
      <c r="H269">
        <f>IF(AtoutsHandicapsMatos!$C$11=A269,1,0)</f>
        <v>0</v>
      </c>
      <c r="I269">
        <f>IF(AtoutsHandicapsMatos!$C$12=A269,1,0)</f>
        <v>0</v>
      </c>
      <c r="J269">
        <f>IF(AtoutsHandicapsMatos!$C$13=A269,1,0)</f>
        <v>0</v>
      </c>
      <c r="K269">
        <f>IF(AtoutsHandicapsMatos!$C$14=A269,1,0)</f>
        <v>0</v>
      </c>
      <c r="L269">
        <f>IF('Perso Reloaded'!$L$20=A269,1,0)</f>
        <v>0</v>
      </c>
      <c r="M269">
        <f>IF('Perso Reloaded'!$L$21=A269,1,0)</f>
        <v>0</v>
      </c>
      <c r="N269">
        <f>IF('Perso Reloaded'!$L$22=A269,1,0)</f>
        <v>0</v>
      </c>
      <c r="O269">
        <f>IF('Perso Reloaded'!$L$23=A269,1,0)</f>
        <v>0</v>
      </c>
      <c r="P269">
        <f>IF('Perso Reloaded'!$L$24=A269,1,0)</f>
        <v>0</v>
      </c>
      <c r="Q269">
        <f>IF('Perso Reloaded'!$L$25=A269,1,0)</f>
        <v>0</v>
      </c>
      <c r="R269">
        <f>IF('Perso Reloaded'!$L$26=A269,1,0)</f>
        <v>0</v>
      </c>
      <c r="S269">
        <f>IF('Perso Reloaded'!$L$27=A269,1,0)</f>
        <v>0</v>
      </c>
      <c r="T269">
        <f t="shared" si="13"/>
        <v>0</v>
      </c>
      <c r="U269" t="b">
        <f t="shared" si="14"/>
        <v>0</v>
      </c>
    </row>
    <row r="270" spans="1:21" x14ac:dyDescent="0.3">
      <c r="A270" s="65" t="s">
        <v>281</v>
      </c>
      <c r="B270">
        <f>IF(AtoutsHandicapsMatos!$C$5=A270,1,0)</f>
        <v>0</v>
      </c>
      <c r="C270">
        <f>IF(AtoutsHandicapsMatos!$C$6=A270,1,0)</f>
        <v>0</v>
      </c>
      <c r="D270">
        <f>IF(AtoutsHandicapsMatos!$C$7=A270,1,0)</f>
        <v>0</v>
      </c>
      <c r="E270">
        <f>IF(AtoutsHandicapsMatos!$C$8=A270,1,0)</f>
        <v>0</v>
      </c>
      <c r="F270">
        <f>IF(AtoutsHandicapsMatos!$C$9=A270,1,0)</f>
        <v>0</v>
      </c>
      <c r="G270">
        <f>IF(AtoutsHandicapsMatos!$C$10=A270,1,0)</f>
        <v>0</v>
      </c>
      <c r="H270">
        <f>IF(AtoutsHandicapsMatos!$C$11=A270,1,0)</f>
        <v>0</v>
      </c>
      <c r="I270">
        <f>IF(AtoutsHandicapsMatos!$C$12=A270,1,0)</f>
        <v>0</v>
      </c>
      <c r="J270">
        <f>IF(AtoutsHandicapsMatos!$C$13=A270,1,0)</f>
        <v>0</v>
      </c>
      <c r="K270">
        <f>IF(AtoutsHandicapsMatos!$C$14=A270,1,0)</f>
        <v>0</v>
      </c>
      <c r="L270">
        <f>IF('Perso Reloaded'!$L$20=A270,1,0)</f>
        <v>0</v>
      </c>
      <c r="M270">
        <f>IF('Perso Reloaded'!$L$21=A270,1,0)</f>
        <v>0</v>
      </c>
      <c r="N270">
        <f>IF('Perso Reloaded'!$L$22=A270,1,0)</f>
        <v>0</v>
      </c>
      <c r="O270">
        <f>IF('Perso Reloaded'!$L$23=A270,1,0)</f>
        <v>0</v>
      </c>
      <c r="P270">
        <f>IF('Perso Reloaded'!$L$24=A270,1,0)</f>
        <v>0</v>
      </c>
      <c r="Q270">
        <f>IF('Perso Reloaded'!$L$25=A270,1,0)</f>
        <v>0</v>
      </c>
      <c r="R270">
        <f>IF('Perso Reloaded'!$L$26=A270,1,0)</f>
        <v>0</v>
      </c>
      <c r="S270">
        <f>IF('Perso Reloaded'!$L$27=A270,1,0)</f>
        <v>0</v>
      </c>
      <c r="T270">
        <f t="shared" si="13"/>
        <v>0</v>
      </c>
      <c r="U270" t="b">
        <f t="shared" si="14"/>
        <v>0</v>
      </c>
    </row>
    <row r="271" spans="1:21" x14ac:dyDescent="0.3">
      <c r="A271" s="65" t="str">
        <f>IF(OR(SexePerso="Féminin",'Perso Reloaded'!$C$6="Féminin"),"Renomée/Notable (héroïne nationnalle)","Renomée/Notable (héro nationnal)")</f>
        <v>Renomée/Notable (héro nationnal)</v>
      </c>
      <c r="B271">
        <f>IF(AtoutsHandicapsMatos!$C$5=A271,1,0)</f>
        <v>0</v>
      </c>
      <c r="C271">
        <f>IF(AtoutsHandicapsMatos!$C$6=A271,1,0)</f>
        <v>0</v>
      </c>
      <c r="D271">
        <f>IF(AtoutsHandicapsMatos!$C$7=A271,1,0)</f>
        <v>0</v>
      </c>
      <c r="E271">
        <f>IF(AtoutsHandicapsMatos!$C$8=A271,1,0)</f>
        <v>0</v>
      </c>
      <c r="F271">
        <f>IF(AtoutsHandicapsMatos!$C$9=A271,1,0)</f>
        <v>0</v>
      </c>
      <c r="G271">
        <f>IF(AtoutsHandicapsMatos!$C$10=A271,1,0)</f>
        <v>0</v>
      </c>
      <c r="H271">
        <f>IF(AtoutsHandicapsMatos!$C$11=A271,1,0)</f>
        <v>0</v>
      </c>
      <c r="I271">
        <f>IF(AtoutsHandicapsMatos!$C$12=A271,1,0)</f>
        <v>0</v>
      </c>
      <c r="J271">
        <f>IF(AtoutsHandicapsMatos!$C$13=A271,1,0)</f>
        <v>0</v>
      </c>
      <c r="K271">
        <f>IF(AtoutsHandicapsMatos!$C$14=A271,1,0)</f>
        <v>0</v>
      </c>
      <c r="L271">
        <f>IF('Perso Reloaded'!$L$20=A271,1,0)</f>
        <v>0</v>
      </c>
      <c r="M271">
        <f>IF('Perso Reloaded'!$L$21=A271,1,0)</f>
        <v>0</v>
      </c>
      <c r="N271">
        <f>IF('Perso Reloaded'!$L$22=A271,1,0)</f>
        <v>0</v>
      </c>
      <c r="O271">
        <f>IF('Perso Reloaded'!$L$23=A271,1,0)</f>
        <v>0</v>
      </c>
      <c r="P271">
        <f>IF('Perso Reloaded'!$L$24=A271,1,0)</f>
        <v>0</v>
      </c>
      <c r="Q271">
        <f>IF('Perso Reloaded'!$L$25=A271,1,0)</f>
        <v>0</v>
      </c>
      <c r="R271">
        <f>IF('Perso Reloaded'!$L$26=A271,1,0)</f>
        <v>0</v>
      </c>
      <c r="S271">
        <f>IF('Perso Reloaded'!$L$27=A271,1,0)</f>
        <v>0</v>
      </c>
      <c r="T271">
        <f t="shared" si="13"/>
        <v>0</v>
      </c>
      <c r="U271" t="b">
        <f t="shared" si="14"/>
        <v>0</v>
      </c>
    </row>
    <row r="272" spans="1:21" x14ac:dyDescent="0.3">
      <c r="A272" s="65" t="s">
        <v>3175</v>
      </c>
      <c r="B272">
        <f>IF(AtoutsHandicapsMatos!$C$5=A272,1,0)</f>
        <v>0</v>
      </c>
      <c r="C272">
        <f>IF(AtoutsHandicapsMatos!$C$6=A272,1,0)</f>
        <v>0</v>
      </c>
      <c r="D272">
        <f>IF(AtoutsHandicapsMatos!$C$7=A272,1,0)</f>
        <v>0</v>
      </c>
      <c r="E272">
        <f>IF(AtoutsHandicapsMatos!$C$8=A272,1,0)</f>
        <v>0</v>
      </c>
      <c r="F272">
        <f>IF(AtoutsHandicapsMatos!$C$9=A272,1,0)</f>
        <v>0</v>
      </c>
      <c r="G272">
        <f>IF(AtoutsHandicapsMatos!$C$10=A272,1,0)</f>
        <v>0</v>
      </c>
      <c r="H272">
        <f>IF(AtoutsHandicapsMatos!$C$11=A272,1,0)</f>
        <v>0</v>
      </c>
      <c r="I272">
        <f>IF(AtoutsHandicapsMatos!$C$12=A272,1,0)</f>
        <v>0</v>
      </c>
      <c r="J272">
        <f>IF(AtoutsHandicapsMatos!$C$13=A272,1,0)</f>
        <v>0</v>
      </c>
      <c r="K272">
        <f>IF(AtoutsHandicapsMatos!$C$14=A272,1,0)</f>
        <v>0</v>
      </c>
      <c r="L272">
        <f>IF('Perso Reloaded'!$L$20=A272,1,0)</f>
        <v>0</v>
      </c>
      <c r="M272">
        <f>IF('Perso Reloaded'!$L$21=A272,1,0)</f>
        <v>0</v>
      </c>
      <c r="N272">
        <f>IF('Perso Reloaded'!$L$22=A272,1,0)</f>
        <v>0</v>
      </c>
      <c r="O272">
        <f>IF('Perso Reloaded'!$L$23=A272,1,0)</f>
        <v>0</v>
      </c>
      <c r="P272">
        <f>IF('Perso Reloaded'!$L$24=A272,1,0)</f>
        <v>0</v>
      </c>
      <c r="Q272">
        <f>IF('Perso Reloaded'!$L$25=A272,1,0)</f>
        <v>0</v>
      </c>
      <c r="R272">
        <f>IF('Perso Reloaded'!$L$26=A272,1,0)</f>
        <v>0</v>
      </c>
      <c r="S272">
        <f>IF('Perso Reloaded'!$L$27=A272,1,0)</f>
        <v>0</v>
      </c>
      <c r="T272">
        <f t="shared" si="13"/>
        <v>0</v>
      </c>
      <c r="U272" t="b">
        <f t="shared" si="14"/>
        <v>0</v>
      </c>
    </row>
    <row r="273" spans="1:21" x14ac:dyDescent="0.3">
      <c r="A273" s="65" t="s">
        <v>3174</v>
      </c>
      <c r="B273">
        <f>IF(AtoutsHandicapsMatos!$C$5=A273,1,0)</f>
        <v>0</v>
      </c>
      <c r="C273">
        <f>IF(AtoutsHandicapsMatos!$C$6=A273,1,0)</f>
        <v>0</v>
      </c>
      <c r="D273">
        <f>IF(AtoutsHandicapsMatos!$C$7=A273,1,0)</f>
        <v>0</v>
      </c>
      <c r="E273">
        <f>IF(AtoutsHandicapsMatos!$C$8=A273,1,0)</f>
        <v>0</v>
      </c>
      <c r="F273">
        <f>IF(AtoutsHandicapsMatos!$C$9=A273,1,0)</f>
        <v>0</v>
      </c>
      <c r="G273">
        <f>IF(AtoutsHandicapsMatos!$C$10=A273,1,0)</f>
        <v>0</v>
      </c>
      <c r="H273">
        <f>IF(AtoutsHandicapsMatos!$C$11=A273,1,0)</f>
        <v>0</v>
      </c>
      <c r="I273">
        <f>IF(AtoutsHandicapsMatos!$C$12=A273,1,0)</f>
        <v>0</v>
      </c>
      <c r="J273">
        <f>IF(AtoutsHandicapsMatos!$C$13=A273,1,0)</f>
        <v>0</v>
      </c>
      <c r="K273">
        <f>IF(AtoutsHandicapsMatos!$C$14=A273,1,0)</f>
        <v>0</v>
      </c>
      <c r="L273">
        <f>IF('Perso Reloaded'!$L$20=A273,1,0)</f>
        <v>0</v>
      </c>
      <c r="M273">
        <f>IF('Perso Reloaded'!$L$21=A273,1,0)</f>
        <v>0</v>
      </c>
      <c r="N273">
        <f>IF('Perso Reloaded'!$L$22=A273,1,0)</f>
        <v>0</v>
      </c>
      <c r="O273">
        <f>IF('Perso Reloaded'!$L$23=A273,1,0)</f>
        <v>0</v>
      </c>
      <c r="P273">
        <f>IF('Perso Reloaded'!$L$24=A273,1,0)</f>
        <v>0</v>
      </c>
      <c r="Q273">
        <f>IF('Perso Reloaded'!$L$25=A273,1,0)</f>
        <v>0</v>
      </c>
      <c r="R273">
        <f>IF('Perso Reloaded'!$L$26=A273,1,0)</f>
        <v>0</v>
      </c>
      <c r="S273">
        <f>IF('Perso Reloaded'!$L$27=A273,1,0)</f>
        <v>0</v>
      </c>
      <c r="T273">
        <f t="shared" si="13"/>
        <v>0</v>
      </c>
      <c r="U273" t="b">
        <f t="shared" si="14"/>
        <v>0</v>
      </c>
    </row>
    <row r="274" spans="1:21" x14ac:dyDescent="0.3">
      <c r="A274" s="65" t="s">
        <v>5204</v>
      </c>
      <c r="B274">
        <f>IF(AtoutsHandicapsMatos!$C$5=A274,1,0)</f>
        <v>0</v>
      </c>
      <c r="C274">
        <f>IF(AtoutsHandicapsMatos!$C$6=A274,1,0)</f>
        <v>0</v>
      </c>
      <c r="D274">
        <f>IF(AtoutsHandicapsMatos!$C$7=A274,1,0)</f>
        <v>0</v>
      </c>
      <c r="E274">
        <f>IF(AtoutsHandicapsMatos!$C$8=A274,1,0)</f>
        <v>0</v>
      </c>
      <c r="F274">
        <f>IF(AtoutsHandicapsMatos!$C$9=A274,1,0)</f>
        <v>0</v>
      </c>
      <c r="G274">
        <f>IF(AtoutsHandicapsMatos!$C$10=A274,1,0)</f>
        <v>0</v>
      </c>
      <c r="H274">
        <f>IF(AtoutsHandicapsMatos!$C$11=A274,1,0)</f>
        <v>0</v>
      </c>
      <c r="I274">
        <f>IF(AtoutsHandicapsMatos!$C$12=A274,1,0)</f>
        <v>0</v>
      </c>
      <c r="J274">
        <f>IF(AtoutsHandicapsMatos!$C$13=A274,1,0)</f>
        <v>0</v>
      </c>
      <c r="K274">
        <f>IF(AtoutsHandicapsMatos!$C$14=A274,1,0)</f>
        <v>0</v>
      </c>
      <c r="L274">
        <f>IF('Perso Reloaded'!$L$20=A274,1,0)</f>
        <v>0</v>
      </c>
      <c r="M274">
        <f>IF('Perso Reloaded'!$L$21=A274,1,0)</f>
        <v>0</v>
      </c>
      <c r="N274">
        <f>IF('Perso Reloaded'!$L$22=A274,1,0)</f>
        <v>0</v>
      </c>
      <c r="O274">
        <f>IF('Perso Reloaded'!$L$23=A274,1,0)</f>
        <v>0</v>
      </c>
      <c r="P274">
        <f>IF('Perso Reloaded'!$L$24=A274,1,0)</f>
        <v>0</v>
      </c>
      <c r="Q274">
        <f>IF('Perso Reloaded'!$L$25=A274,1,0)</f>
        <v>0</v>
      </c>
      <c r="R274">
        <f>IF('Perso Reloaded'!$L$26=A274,1,0)</f>
        <v>0</v>
      </c>
      <c r="S274">
        <f>IF('Perso Reloaded'!$L$27=A274,1,0)</f>
        <v>0</v>
      </c>
      <c r="T274">
        <f t="shared" si="13"/>
        <v>0</v>
      </c>
      <c r="U274" t="b">
        <f t="shared" si="14"/>
        <v>0</v>
      </c>
    </row>
    <row r="275" spans="1:21" x14ac:dyDescent="0.3">
      <c r="A275" s="65" t="s">
        <v>3366</v>
      </c>
      <c r="B275">
        <f>IF(AtoutsHandicapsMatos!$C$5=A275,1,0)</f>
        <v>0</v>
      </c>
      <c r="C275">
        <f>IF(AtoutsHandicapsMatos!$C$6=A275,1,0)</f>
        <v>0</v>
      </c>
      <c r="D275">
        <f>IF(AtoutsHandicapsMatos!$C$7=A275,1,0)</f>
        <v>0</v>
      </c>
      <c r="E275">
        <f>IF(AtoutsHandicapsMatos!$C$8=A275,1,0)</f>
        <v>0</v>
      </c>
      <c r="F275">
        <f>IF(AtoutsHandicapsMatos!$C$9=A275,1,0)</f>
        <v>0</v>
      </c>
      <c r="G275">
        <f>IF(AtoutsHandicapsMatos!$C$10=A275,1,0)</f>
        <v>0</v>
      </c>
      <c r="H275">
        <f>IF(AtoutsHandicapsMatos!$C$11=A275,1,0)</f>
        <v>0</v>
      </c>
      <c r="I275">
        <f>IF(AtoutsHandicapsMatos!$C$12=A275,1,0)</f>
        <v>0</v>
      </c>
      <c r="J275">
        <f>IF(AtoutsHandicapsMatos!$C$13=A275,1,0)</f>
        <v>0</v>
      </c>
      <c r="K275">
        <f>IF(AtoutsHandicapsMatos!$C$14=A275,1,0)</f>
        <v>0</v>
      </c>
      <c r="L275">
        <f>IF('Perso Reloaded'!$L$20=A275,1,0)</f>
        <v>0</v>
      </c>
      <c r="M275">
        <f>IF('Perso Reloaded'!$L$21=A275,1,0)</f>
        <v>0</v>
      </c>
      <c r="N275">
        <f>IF('Perso Reloaded'!$L$22=A275,1,0)</f>
        <v>0</v>
      </c>
      <c r="O275">
        <f>IF('Perso Reloaded'!$L$23=A275,1,0)</f>
        <v>0</v>
      </c>
      <c r="P275">
        <f>IF('Perso Reloaded'!$L$24=A275,1,0)</f>
        <v>0</v>
      </c>
      <c r="Q275">
        <f>IF('Perso Reloaded'!$L$25=A275,1,0)</f>
        <v>0</v>
      </c>
      <c r="R275">
        <f>IF('Perso Reloaded'!$L$26=A275,1,0)</f>
        <v>0</v>
      </c>
      <c r="S275">
        <f>IF('Perso Reloaded'!$L$27=A275,1,0)</f>
        <v>0</v>
      </c>
      <c r="T275">
        <f t="shared" si="13"/>
        <v>0</v>
      </c>
      <c r="U275" t="b">
        <f t="shared" si="14"/>
        <v>0</v>
      </c>
    </row>
    <row r="276" spans="1:21" x14ac:dyDescent="0.3">
      <c r="A276" s="65" t="s">
        <v>3179</v>
      </c>
      <c r="B276">
        <f>IF(AtoutsHandicapsMatos!$C$5=A276,1,0)</f>
        <v>0</v>
      </c>
      <c r="C276">
        <f>IF(AtoutsHandicapsMatos!$C$6=A276,1,0)</f>
        <v>0</v>
      </c>
      <c r="D276">
        <f>IF(AtoutsHandicapsMatos!$C$7=A276,1,0)</f>
        <v>0</v>
      </c>
      <c r="E276">
        <f>IF(AtoutsHandicapsMatos!$C$8=A276,1,0)</f>
        <v>0</v>
      </c>
      <c r="F276">
        <f>IF(AtoutsHandicapsMatos!$C$9=A276,1,0)</f>
        <v>0</v>
      </c>
      <c r="G276">
        <f>IF(AtoutsHandicapsMatos!$C$10=A276,1,0)</f>
        <v>0</v>
      </c>
      <c r="H276">
        <f>IF(AtoutsHandicapsMatos!$C$11=A276,1,0)</f>
        <v>0</v>
      </c>
      <c r="I276">
        <f>IF(AtoutsHandicapsMatos!$C$12=A276,1,0)</f>
        <v>0</v>
      </c>
      <c r="J276">
        <f>IF(AtoutsHandicapsMatos!$C$13=A276,1,0)</f>
        <v>0</v>
      </c>
      <c r="K276">
        <f>IF(AtoutsHandicapsMatos!$C$14=A276,1,0)</f>
        <v>0</v>
      </c>
      <c r="L276">
        <f>IF('Perso Reloaded'!$L$20=A276,1,0)</f>
        <v>0</v>
      </c>
      <c r="M276">
        <f>IF('Perso Reloaded'!$L$21=A276,1,0)</f>
        <v>0</v>
      </c>
      <c r="N276">
        <f>IF('Perso Reloaded'!$L$22=A276,1,0)</f>
        <v>0</v>
      </c>
      <c r="O276">
        <f>IF('Perso Reloaded'!$L$23=A276,1,0)</f>
        <v>0</v>
      </c>
      <c r="P276">
        <f>IF('Perso Reloaded'!$L$24=A276,1,0)</f>
        <v>0</v>
      </c>
      <c r="Q276">
        <f>IF('Perso Reloaded'!$L$25=A276,1,0)</f>
        <v>0</v>
      </c>
      <c r="R276">
        <f>IF('Perso Reloaded'!$L$26=A276,1,0)</f>
        <v>0</v>
      </c>
      <c r="S276">
        <f>IF('Perso Reloaded'!$L$27=A276,1,0)</f>
        <v>0</v>
      </c>
      <c r="T276">
        <f t="shared" si="13"/>
        <v>0</v>
      </c>
      <c r="U276" t="b">
        <f t="shared" si="14"/>
        <v>0</v>
      </c>
    </row>
    <row r="277" spans="1:21" x14ac:dyDescent="0.3">
      <c r="A277" s="65" t="s">
        <v>3180</v>
      </c>
      <c r="B277">
        <f>IF(AtoutsHandicapsMatos!$C$5=A277,1,0)</f>
        <v>0</v>
      </c>
      <c r="C277">
        <f>IF(AtoutsHandicapsMatos!$C$6=A277,1,0)</f>
        <v>0</v>
      </c>
      <c r="D277">
        <f>IF(AtoutsHandicapsMatos!$C$7=A277,1,0)</f>
        <v>0</v>
      </c>
      <c r="E277">
        <f>IF(AtoutsHandicapsMatos!$C$8=A277,1,0)</f>
        <v>0</v>
      </c>
      <c r="F277">
        <f>IF(AtoutsHandicapsMatos!$C$9=A277,1,0)</f>
        <v>0</v>
      </c>
      <c r="G277">
        <f>IF(AtoutsHandicapsMatos!$C$10=A277,1,0)</f>
        <v>0</v>
      </c>
      <c r="H277">
        <f>IF(AtoutsHandicapsMatos!$C$11=A277,1,0)</f>
        <v>0</v>
      </c>
      <c r="I277">
        <f>IF(AtoutsHandicapsMatos!$C$12=A277,1,0)</f>
        <v>0</v>
      </c>
      <c r="J277">
        <f>IF(AtoutsHandicapsMatos!$C$13=A277,1,0)</f>
        <v>0</v>
      </c>
      <c r="K277">
        <f>IF(AtoutsHandicapsMatos!$C$14=A277,1,0)</f>
        <v>0</v>
      </c>
      <c r="L277">
        <f>IF('Perso Reloaded'!$L$20=A277,1,0)</f>
        <v>0</v>
      </c>
      <c r="M277">
        <f>IF('Perso Reloaded'!$L$21=A277,1,0)</f>
        <v>0</v>
      </c>
      <c r="N277">
        <f>IF('Perso Reloaded'!$L$22=A277,1,0)</f>
        <v>0</v>
      </c>
      <c r="O277">
        <f>IF('Perso Reloaded'!$L$23=A277,1,0)</f>
        <v>0</v>
      </c>
      <c r="P277">
        <f>IF('Perso Reloaded'!$L$24=A277,1,0)</f>
        <v>0</v>
      </c>
      <c r="Q277">
        <f>IF('Perso Reloaded'!$L$25=A277,1,0)</f>
        <v>0</v>
      </c>
      <c r="R277">
        <f>IF('Perso Reloaded'!$L$26=A277,1,0)</f>
        <v>0</v>
      </c>
      <c r="S277">
        <f>IF('Perso Reloaded'!$L$27=A277,1,0)</f>
        <v>0</v>
      </c>
      <c r="T277">
        <f t="shared" si="13"/>
        <v>0</v>
      </c>
      <c r="U277" t="b">
        <f t="shared" si="14"/>
        <v>0</v>
      </c>
    </row>
    <row r="278" spans="1:21" x14ac:dyDescent="0.3">
      <c r="A278" s="65" t="s">
        <v>5205</v>
      </c>
      <c r="B278">
        <f>IF(AtoutsHandicapsMatos!$C$5=A278,1,0)</f>
        <v>0</v>
      </c>
      <c r="C278">
        <f>IF(AtoutsHandicapsMatos!$C$6=A278,1,0)</f>
        <v>0</v>
      </c>
      <c r="D278">
        <f>IF(AtoutsHandicapsMatos!$C$7=A278,1,0)</f>
        <v>0</v>
      </c>
      <c r="E278">
        <f>IF(AtoutsHandicapsMatos!$C$8=A278,1,0)</f>
        <v>0</v>
      </c>
      <c r="F278">
        <f>IF(AtoutsHandicapsMatos!$C$9=A278,1,0)</f>
        <v>0</v>
      </c>
      <c r="G278">
        <f>IF(AtoutsHandicapsMatos!$C$10=A278,1,0)</f>
        <v>0</v>
      </c>
      <c r="H278">
        <f>IF(AtoutsHandicapsMatos!$C$11=A278,1,0)</f>
        <v>0</v>
      </c>
      <c r="I278">
        <f>IF(AtoutsHandicapsMatos!$C$12=A278,1,0)</f>
        <v>0</v>
      </c>
      <c r="J278">
        <f>IF(AtoutsHandicapsMatos!$C$13=A278,1,0)</f>
        <v>0</v>
      </c>
      <c r="K278">
        <f>IF(AtoutsHandicapsMatos!$C$14=A278,1,0)</f>
        <v>0</v>
      </c>
      <c r="L278">
        <f>IF('Perso Reloaded'!$L$20=A278,1,0)</f>
        <v>0</v>
      </c>
      <c r="M278">
        <f>IF('Perso Reloaded'!$L$21=A278,1,0)</f>
        <v>0</v>
      </c>
      <c r="N278">
        <f>IF('Perso Reloaded'!$L$22=A278,1,0)</f>
        <v>0</v>
      </c>
      <c r="O278">
        <f>IF('Perso Reloaded'!$L$23=A278,1,0)</f>
        <v>0</v>
      </c>
      <c r="P278">
        <f>IF('Perso Reloaded'!$L$24=A278,1,0)</f>
        <v>0</v>
      </c>
      <c r="Q278">
        <f>IF('Perso Reloaded'!$L$25=A278,1,0)</f>
        <v>0</v>
      </c>
      <c r="R278">
        <f>IF('Perso Reloaded'!$L$26=A278,1,0)</f>
        <v>0</v>
      </c>
      <c r="S278">
        <f>IF('Perso Reloaded'!$L$27=A278,1,0)</f>
        <v>0</v>
      </c>
      <c r="T278">
        <f t="shared" si="13"/>
        <v>0</v>
      </c>
      <c r="U278" t="b">
        <f t="shared" si="14"/>
        <v>0</v>
      </c>
    </row>
    <row r="279" spans="1:21" x14ac:dyDescent="0.3">
      <c r="A279" s="65" t="s">
        <v>3295</v>
      </c>
      <c r="B279">
        <f>IF(AtoutsHandicapsMatos!$C$5=A279,1,0)</f>
        <v>0</v>
      </c>
      <c r="C279">
        <f>IF(AtoutsHandicapsMatos!$C$6=A279,1,0)</f>
        <v>0</v>
      </c>
      <c r="D279">
        <f>IF(AtoutsHandicapsMatos!$C$7=A279,1,0)</f>
        <v>0</v>
      </c>
      <c r="E279">
        <f>IF(AtoutsHandicapsMatos!$C$8=A279,1,0)</f>
        <v>0</v>
      </c>
      <c r="F279">
        <f>IF(AtoutsHandicapsMatos!$C$9=A279,1,0)</f>
        <v>0</v>
      </c>
      <c r="G279">
        <f>IF(AtoutsHandicapsMatos!$C$10=A279,1,0)</f>
        <v>0</v>
      </c>
      <c r="H279">
        <f>IF(AtoutsHandicapsMatos!$C$11=A279,1,0)</f>
        <v>0</v>
      </c>
      <c r="I279">
        <f>IF(AtoutsHandicapsMatos!$C$12=A279,1,0)</f>
        <v>0</v>
      </c>
      <c r="J279">
        <f>IF(AtoutsHandicapsMatos!$C$13=A279,1,0)</f>
        <v>0</v>
      </c>
      <c r="K279">
        <f>IF(AtoutsHandicapsMatos!$C$14=A279,1,0)</f>
        <v>0</v>
      </c>
      <c r="L279">
        <f>IF('Perso Reloaded'!$L$20=A279,1,0)</f>
        <v>0</v>
      </c>
      <c r="M279">
        <f>IF('Perso Reloaded'!$L$21=A279,1,0)</f>
        <v>0</v>
      </c>
      <c r="N279">
        <f>IF('Perso Reloaded'!$L$22=A279,1,0)</f>
        <v>0</v>
      </c>
      <c r="O279">
        <f>IF('Perso Reloaded'!$L$23=A279,1,0)</f>
        <v>0</v>
      </c>
      <c r="P279">
        <f>IF('Perso Reloaded'!$L$24=A279,1,0)</f>
        <v>0</v>
      </c>
      <c r="Q279">
        <f>IF('Perso Reloaded'!$L$25=A279,1,0)</f>
        <v>0</v>
      </c>
      <c r="R279">
        <f>IF('Perso Reloaded'!$L$26=A279,1,0)</f>
        <v>0</v>
      </c>
      <c r="S279">
        <f>IF('Perso Reloaded'!$L$27=A279,1,0)</f>
        <v>0</v>
      </c>
      <c r="T279">
        <f t="shared" si="13"/>
        <v>0</v>
      </c>
      <c r="U279" t="b">
        <f t="shared" si="14"/>
        <v>0</v>
      </c>
    </row>
    <row r="280" spans="1:21" x14ac:dyDescent="0.3">
      <c r="A280" s="65" t="s">
        <v>5251</v>
      </c>
      <c r="B280">
        <f>IF(AtoutsHandicapsMatos!$C$5=A280,1,0)</f>
        <v>0</v>
      </c>
      <c r="C280">
        <f>IF(AtoutsHandicapsMatos!$C$6=A280,1,0)</f>
        <v>0</v>
      </c>
      <c r="D280">
        <f>IF(AtoutsHandicapsMatos!$C$7=A280,1,0)</f>
        <v>0</v>
      </c>
      <c r="E280">
        <f>IF(AtoutsHandicapsMatos!$C$8=A280,1,0)</f>
        <v>0</v>
      </c>
      <c r="F280">
        <f>IF(AtoutsHandicapsMatos!$C$9=A280,1,0)</f>
        <v>0</v>
      </c>
      <c r="G280">
        <f>IF(AtoutsHandicapsMatos!$C$10=A280,1,0)</f>
        <v>0</v>
      </c>
      <c r="H280">
        <f>IF(AtoutsHandicapsMatos!$C$11=A280,1,0)</f>
        <v>0</v>
      </c>
      <c r="I280">
        <f>IF(AtoutsHandicapsMatos!$C$12=A280,1,0)</f>
        <v>0</v>
      </c>
      <c r="J280">
        <f>IF(AtoutsHandicapsMatos!$C$13=A280,1,0)</f>
        <v>0</v>
      </c>
      <c r="K280">
        <f>IF(AtoutsHandicapsMatos!$C$14=A280,1,0)</f>
        <v>0</v>
      </c>
      <c r="L280">
        <f>IF('Perso Reloaded'!$L$20=A280,1,0)</f>
        <v>0</v>
      </c>
      <c r="M280">
        <f>IF('Perso Reloaded'!$L$21=A280,1,0)</f>
        <v>0</v>
      </c>
      <c r="N280">
        <f>IF('Perso Reloaded'!$L$22=A280,1,0)</f>
        <v>0</v>
      </c>
      <c r="O280">
        <f>IF('Perso Reloaded'!$L$23=A280,1,0)</f>
        <v>0</v>
      </c>
      <c r="P280">
        <f>IF('Perso Reloaded'!$L$24=A280,1,0)</f>
        <v>0</v>
      </c>
      <c r="Q280">
        <f>IF('Perso Reloaded'!$L$25=A280,1,0)</f>
        <v>0</v>
      </c>
      <c r="R280">
        <f>IF('Perso Reloaded'!$L$26=A280,1,0)</f>
        <v>0</v>
      </c>
      <c r="S280">
        <f>IF('Perso Reloaded'!$L$27=A280,1,0)</f>
        <v>0</v>
      </c>
      <c r="T280">
        <f t="shared" ref="T280" si="15">SUM(B280:S280)</f>
        <v>0</v>
      </c>
      <c r="U280" t="b">
        <f t="shared" si="14"/>
        <v>0</v>
      </c>
    </row>
    <row r="281" spans="1:21" x14ac:dyDescent="0.3">
      <c r="A281" s="65" t="str">
        <f>IF(OR(SexePerso="Féminin",'Perso Reloaded'!$C$6="Féminin"),"Sacrée Baratineuse","Sacré Baratineur")</f>
        <v>Sacré Baratineur</v>
      </c>
      <c r="B281">
        <f>IF(AtoutsHandicapsMatos!$C$5=A281,1,0)</f>
        <v>0</v>
      </c>
      <c r="C281">
        <f>IF(AtoutsHandicapsMatos!$C$6=A281,1,0)</f>
        <v>0</v>
      </c>
      <c r="D281">
        <f>IF(AtoutsHandicapsMatos!$C$7=A281,1,0)</f>
        <v>0</v>
      </c>
      <c r="E281">
        <f>IF(AtoutsHandicapsMatos!$C$8=A281,1,0)</f>
        <v>0</v>
      </c>
      <c r="F281">
        <f>IF(AtoutsHandicapsMatos!$C$9=A281,1,0)</f>
        <v>0</v>
      </c>
      <c r="G281">
        <f>IF(AtoutsHandicapsMatos!$C$10=A281,1,0)</f>
        <v>0</v>
      </c>
      <c r="H281">
        <f>IF(AtoutsHandicapsMatos!$C$11=A281,1,0)</f>
        <v>0</v>
      </c>
      <c r="I281">
        <f>IF(AtoutsHandicapsMatos!$C$12=A281,1,0)</f>
        <v>0</v>
      </c>
      <c r="J281">
        <f>IF(AtoutsHandicapsMatos!$C$13=A281,1,0)</f>
        <v>0</v>
      </c>
      <c r="K281">
        <f>IF(AtoutsHandicapsMatos!$C$14=A281,1,0)</f>
        <v>0</v>
      </c>
      <c r="L281">
        <f>IF('Perso Reloaded'!$L$20=A281,1,0)</f>
        <v>0</v>
      </c>
      <c r="M281">
        <f>IF('Perso Reloaded'!$L$21=A281,1,0)</f>
        <v>0</v>
      </c>
      <c r="N281">
        <f>IF('Perso Reloaded'!$L$22=A281,1,0)</f>
        <v>0</v>
      </c>
      <c r="O281">
        <f>IF('Perso Reloaded'!$L$23=A281,1,0)</f>
        <v>0</v>
      </c>
      <c r="P281">
        <f>IF('Perso Reloaded'!$L$24=A281,1,0)</f>
        <v>0</v>
      </c>
      <c r="Q281">
        <f>IF('Perso Reloaded'!$L$25=A281,1,0)</f>
        <v>0</v>
      </c>
      <c r="R281">
        <f>IF('Perso Reloaded'!$L$26=A281,1,0)</f>
        <v>0</v>
      </c>
      <c r="S281">
        <f>IF('Perso Reloaded'!$L$27=A281,1,0)</f>
        <v>0</v>
      </c>
      <c r="T281">
        <f t="shared" si="13"/>
        <v>0</v>
      </c>
      <c r="U281" t="b">
        <f t="shared" si="14"/>
        <v>0</v>
      </c>
    </row>
    <row r="282" spans="1:21" x14ac:dyDescent="0.3">
      <c r="A282" s="65" t="s">
        <v>283</v>
      </c>
      <c r="B282">
        <f>IF(AtoutsHandicapsMatos!$C$5=A282,1,0)</f>
        <v>0</v>
      </c>
      <c r="C282">
        <f>IF(AtoutsHandicapsMatos!$C$6=A282,1,0)</f>
        <v>0</v>
      </c>
      <c r="D282">
        <f>IF(AtoutsHandicapsMatos!$C$7=A282,1,0)</f>
        <v>0</v>
      </c>
      <c r="E282">
        <f>IF(AtoutsHandicapsMatos!$C$8=A282,1,0)</f>
        <v>0</v>
      </c>
      <c r="F282">
        <f>IF(AtoutsHandicapsMatos!$C$9=A282,1,0)</f>
        <v>0</v>
      </c>
      <c r="G282">
        <f>IF(AtoutsHandicapsMatos!$C$10=A282,1,0)</f>
        <v>0</v>
      </c>
      <c r="H282">
        <f>IF(AtoutsHandicapsMatos!$C$11=A282,1,0)</f>
        <v>0</v>
      </c>
      <c r="I282">
        <f>IF(AtoutsHandicapsMatos!$C$12=A282,1,0)</f>
        <v>0</v>
      </c>
      <c r="J282">
        <f>IF(AtoutsHandicapsMatos!$C$13=A282,1,0)</f>
        <v>0</v>
      </c>
      <c r="K282">
        <f>IF(AtoutsHandicapsMatos!$C$14=A282,1,0)</f>
        <v>0</v>
      </c>
      <c r="L282">
        <f>IF('Perso Reloaded'!$L$20=A282,1,0)</f>
        <v>0</v>
      </c>
      <c r="M282">
        <f>IF('Perso Reloaded'!$L$21=A282,1,0)</f>
        <v>0</v>
      </c>
      <c r="N282">
        <f>IF('Perso Reloaded'!$L$22=A282,1,0)</f>
        <v>0</v>
      </c>
      <c r="O282">
        <f>IF('Perso Reloaded'!$L$23=A282,1,0)</f>
        <v>0</v>
      </c>
      <c r="P282">
        <f>IF('Perso Reloaded'!$L$24=A282,1,0)</f>
        <v>0</v>
      </c>
      <c r="Q282">
        <f>IF('Perso Reloaded'!$L$25=A282,1,0)</f>
        <v>0</v>
      </c>
      <c r="R282">
        <f>IF('Perso Reloaded'!$L$26=A282,1,0)</f>
        <v>0</v>
      </c>
      <c r="S282">
        <f>IF('Perso Reloaded'!$L$27=A282,1,0)</f>
        <v>0</v>
      </c>
      <c r="T282">
        <f t="shared" si="13"/>
        <v>0</v>
      </c>
      <c r="U282" t="b">
        <f t="shared" si="14"/>
        <v>0</v>
      </c>
    </row>
    <row r="283" spans="1:21" x14ac:dyDescent="0.3">
      <c r="A283" s="65" t="s">
        <v>284</v>
      </c>
      <c r="B283">
        <f>IF(AtoutsHandicapsMatos!$C$5=A283,1,0)</f>
        <v>0</v>
      </c>
      <c r="C283">
        <f>IF(AtoutsHandicapsMatos!$C$6=A283,1,0)</f>
        <v>0</v>
      </c>
      <c r="D283">
        <f>IF(AtoutsHandicapsMatos!$C$7=A283,1,0)</f>
        <v>0</v>
      </c>
      <c r="E283">
        <f>IF(AtoutsHandicapsMatos!$C$8=A283,1,0)</f>
        <v>0</v>
      </c>
      <c r="F283">
        <f>IF(AtoutsHandicapsMatos!$C$9=A283,1,0)</f>
        <v>0</v>
      </c>
      <c r="G283">
        <f>IF(AtoutsHandicapsMatos!$C$10=A283,1,0)</f>
        <v>0</v>
      </c>
      <c r="H283">
        <f>IF(AtoutsHandicapsMatos!$C$11=A283,1,0)</f>
        <v>0</v>
      </c>
      <c r="I283">
        <f>IF(AtoutsHandicapsMatos!$C$12=A283,1,0)</f>
        <v>0</v>
      </c>
      <c r="J283">
        <f>IF(AtoutsHandicapsMatos!$C$13=A283,1,0)</f>
        <v>0</v>
      </c>
      <c r="K283">
        <f>IF(AtoutsHandicapsMatos!$C$14=A283,1,0)</f>
        <v>0</v>
      </c>
      <c r="L283">
        <f>IF('Perso Reloaded'!$L$20=A283,1,0)</f>
        <v>0</v>
      </c>
      <c r="M283">
        <f>IF('Perso Reloaded'!$L$21=A283,1,0)</f>
        <v>0</v>
      </c>
      <c r="N283">
        <f>IF('Perso Reloaded'!$L$22=A283,1,0)</f>
        <v>0</v>
      </c>
      <c r="O283">
        <f>IF('Perso Reloaded'!$L$23=A283,1,0)</f>
        <v>0</v>
      </c>
      <c r="P283">
        <f>IF('Perso Reloaded'!$L$24=A283,1,0)</f>
        <v>0</v>
      </c>
      <c r="Q283">
        <f>IF('Perso Reloaded'!$L$25=A283,1,0)</f>
        <v>0</v>
      </c>
      <c r="R283">
        <f>IF('Perso Reloaded'!$L$26=A283,1,0)</f>
        <v>0</v>
      </c>
      <c r="S283">
        <f>IF('Perso Reloaded'!$L$27=A283,1,0)</f>
        <v>0</v>
      </c>
      <c r="T283">
        <f t="shared" si="13"/>
        <v>0</v>
      </c>
      <c r="U283" t="b">
        <f t="shared" si="14"/>
        <v>0</v>
      </c>
    </row>
    <row r="284" spans="1:21" x14ac:dyDescent="0.3">
      <c r="A284" s="65" t="s">
        <v>4869</v>
      </c>
      <c r="B284">
        <f>IF(AtoutsHandicapsMatos!$C$5=A284,1,0)</f>
        <v>0</v>
      </c>
      <c r="C284">
        <f>IF(AtoutsHandicapsMatos!$C$6=A284,1,0)</f>
        <v>0</v>
      </c>
      <c r="D284">
        <f>IF(AtoutsHandicapsMatos!$C$7=A284,1,0)</f>
        <v>0</v>
      </c>
      <c r="E284">
        <f>IF(AtoutsHandicapsMatos!$C$8=A284,1,0)</f>
        <v>0</v>
      </c>
      <c r="F284">
        <f>IF(AtoutsHandicapsMatos!$C$9=A284,1,0)</f>
        <v>0</v>
      </c>
      <c r="G284">
        <f>IF(AtoutsHandicapsMatos!$C$10=A284,1,0)</f>
        <v>0</v>
      </c>
      <c r="H284">
        <f>IF(AtoutsHandicapsMatos!$C$11=A284,1,0)</f>
        <v>0</v>
      </c>
      <c r="I284">
        <f>IF(AtoutsHandicapsMatos!$C$12=A284,1,0)</f>
        <v>0</v>
      </c>
      <c r="J284">
        <f>IF(AtoutsHandicapsMatos!$C$13=A284,1,0)</f>
        <v>0</v>
      </c>
      <c r="K284">
        <f>IF(AtoutsHandicapsMatos!$C$14=A284,1,0)</f>
        <v>0</v>
      </c>
      <c r="L284">
        <f>IF('Perso Reloaded'!$L$20=A284,1,0)</f>
        <v>0</v>
      </c>
      <c r="M284">
        <f>IF('Perso Reloaded'!$L$21=A284,1,0)</f>
        <v>0</v>
      </c>
      <c r="N284">
        <f>IF('Perso Reloaded'!$L$22=A284,1,0)</f>
        <v>0</v>
      </c>
      <c r="O284">
        <f>IF('Perso Reloaded'!$L$23=A284,1,0)</f>
        <v>0</v>
      </c>
      <c r="P284">
        <f>IF('Perso Reloaded'!$L$24=A284,1,0)</f>
        <v>0</v>
      </c>
      <c r="Q284">
        <f>IF('Perso Reloaded'!$L$25=A284,1,0)</f>
        <v>0</v>
      </c>
      <c r="R284">
        <f>IF('Perso Reloaded'!$L$26=A284,1,0)</f>
        <v>0</v>
      </c>
      <c r="S284">
        <f>IF('Perso Reloaded'!$L$27=A284,1,0)</f>
        <v>0</v>
      </c>
      <c r="T284">
        <f t="shared" si="13"/>
        <v>0</v>
      </c>
      <c r="U284" t="b">
        <f t="shared" si="14"/>
        <v>0</v>
      </c>
    </row>
    <row r="285" spans="1:21" x14ac:dyDescent="0.3">
      <c r="A285" s="65" t="s">
        <v>282</v>
      </c>
      <c r="B285">
        <f>IF(AtoutsHandicapsMatos!$C$5=A285,1,0)</f>
        <v>0</v>
      </c>
      <c r="C285">
        <f>IF(AtoutsHandicapsMatos!$C$6=A285,1,0)</f>
        <v>0</v>
      </c>
      <c r="D285">
        <f>IF(AtoutsHandicapsMatos!$C$7=A285,1,0)</f>
        <v>0</v>
      </c>
      <c r="E285">
        <f>IF(AtoutsHandicapsMatos!$C$8=A285,1,0)</f>
        <v>0</v>
      </c>
      <c r="F285">
        <f>IF(AtoutsHandicapsMatos!$C$9=A285,1,0)</f>
        <v>0</v>
      </c>
      <c r="G285">
        <f>IF(AtoutsHandicapsMatos!$C$10=A285,1,0)</f>
        <v>0</v>
      </c>
      <c r="H285">
        <f>IF(AtoutsHandicapsMatos!$C$11=A285,1,0)</f>
        <v>0</v>
      </c>
      <c r="I285">
        <f>IF(AtoutsHandicapsMatos!$C$12=A285,1,0)</f>
        <v>0</v>
      </c>
      <c r="J285">
        <f>IF(AtoutsHandicapsMatos!$C$13=A285,1,0)</f>
        <v>0</v>
      </c>
      <c r="K285">
        <f>IF(AtoutsHandicapsMatos!$C$14=A285,1,0)</f>
        <v>0</v>
      </c>
      <c r="L285">
        <f>IF('Perso Reloaded'!$L$20=A285,1,0)</f>
        <v>0</v>
      </c>
      <c r="M285">
        <f>IF('Perso Reloaded'!$L$21=A285,1,0)</f>
        <v>0</v>
      </c>
      <c r="N285">
        <f>IF('Perso Reloaded'!$L$22=A285,1,0)</f>
        <v>0</v>
      </c>
      <c r="O285">
        <f>IF('Perso Reloaded'!$L$23=A285,1,0)</f>
        <v>0</v>
      </c>
      <c r="P285">
        <f>IF('Perso Reloaded'!$L$24=A285,1,0)</f>
        <v>0</v>
      </c>
      <c r="Q285">
        <f>IF('Perso Reloaded'!$L$25=A285,1,0)</f>
        <v>0</v>
      </c>
      <c r="R285">
        <f>IF('Perso Reloaded'!$L$26=A285,1,0)</f>
        <v>0</v>
      </c>
      <c r="S285">
        <f>IF('Perso Reloaded'!$L$27=A285,1,0)</f>
        <v>0</v>
      </c>
      <c r="T285">
        <f t="shared" si="13"/>
        <v>0</v>
      </c>
      <c r="U285" t="b">
        <f t="shared" si="14"/>
        <v>0</v>
      </c>
    </row>
    <row r="286" spans="1:21" x14ac:dyDescent="0.3">
      <c r="A286" s="65" t="s">
        <v>4819</v>
      </c>
      <c r="B286">
        <f>IF(AtoutsHandicapsMatos!$C$5=A286,1,0)</f>
        <v>0</v>
      </c>
      <c r="C286">
        <f>IF(AtoutsHandicapsMatos!$C$6=A286,1,0)</f>
        <v>0</v>
      </c>
      <c r="D286">
        <f>IF(AtoutsHandicapsMatos!$C$7=A286,1,0)</f>
        <v>0</v>
      </c>
      <c r="E286">
        <f>IF(AtoutsHandicapsMatos!$C$8=A286,1,0)</f>
        <v>0</v>
      </c>
      <c r="F286">
        <f>IF(AtoutsHandicapsMatos!$C$9=A286,1,0)</f>
        <v>0</v>
      </c>
      <c r="G286">
        <f>IF(AtoutsHandicapsMatos!$C$10=A286,1,0)</f>
        <v>0</v>
      </c>
      <c r="H286">
        <f>IF(AtoutsHandicapsMatos!$C$11=A286,1,0)</f>
        <v>0</v>
      </c>
      <c r="I286">
        <f>IF(AtoutsHandicapsMatos!$C$12=A286,1,0)</f>
        <v>0</v>
      </c>
      <c r="J286">
        <f>IF(AtoutsHandicapsMatos!$C$13=A286,1,0)</f>
        <v>0</v>
      </c>
      <c r="K286">
        <f>IF(AtoutsHandicapsMatos!$C$14=A286,1,0)</f>
        <v>0</v>
      </c>
      <c r="L286">
        <f>IF('Perso Reloaded'!$L$20=A286,1,0)</f>
        <v>0</v>
      </c>
      <c r="M286">
        <f>IF('Perso Reloaded'!$L$21=A286,1,0)</f>
        <v>0</v>
      </c>
      <c r="N286">
        <f>IF('Perso Reloaded'!$L$22=A286,1,0)</f>
        <v>0</v>
      </c>
      <c r="O286">
        <f>IF('Perso Reloaded'!$L$23=A286,1,0)</f>
        <v>0</v>
      </c>
      <c r="P286">
        <f>IF('Perso Reloaded'!$L$24=A286,1,0)</f>
        <v>0</v>
      </c>
      <c r="Q286">
        <f>IF('Perso Reloaded'!$L$25=A286,1,0)</f>
        <v>0</v>
      </c>
      <c r="R286">
        <f>IF('Perso Reloaded'!$L$26=A286,1,0)</f>
        <v>0</v>
      </c>
      <c r="S286">
        <f>IF('Perso Reloaded'!$L$27=A286,1,0)</f>
        <v>0</v>
      </c>
      <c r="T286">
        <f t="shared" si="13"/>
        <v>0</v>
      </c>
      <c r="U286" t="b">
        <f t="shared" si="14"/>
        <v>0</v>
      </c>
    </row>
    <row r="287" spans="1:21" x14ac:dyDescent="0.3">
      <c r="A287" s="65" t="s">
        <v>4822</v>
      </c>
      <c r="B287">
        <f>IF(AtoutsHandicapsMatos!$C$5=A287,1,0)</f>
        <v>0</v>
      </c>
      <c r="C287">
        <f>IF(AtoutsHandicapsMatos!$C$6=A287,1,0)</f>
        <v>0</v>
      </c>
      <c r="D287">
        <f>IF(AtoutsHandicapsMatos!$C$7=A287,1,0)</f>
        <v>0</v>
      </c>
      <c r="E287">
        <f>IF(AtoutsHandicapsMatos!$C$8=A287,1,0)</f>
        <v>0</v>
      </c>
      <c r="F287">
        <f>IF(AtoutsHandicapsMatos!$C$9=A287,1,0)</f>
        <v>0</v>
      </c>
      <c r="G287">
        <f>IF(AtoutsHandicapsMatos!$C$10=A287,1,0)</f>
        <v>0</v>
      </c>
      <c r="H287">
        <f>IF(AtoutsHandicapsMatos!$C$11=A287,1,0)</f>
        <v>0</v>
      </c>
      <c r="I287">
        <f>IF(AtoutsHandicapsMatos!$C$12=A287,1,0)</f>
        <v>0</v>
      </c>
      <c r="J287">
        <f>IF(AtoutsHandicapsMatos!$C$13=A287,1,0)</f>
        <v>0</v>
      </c>
      <c r="K287">
        <f>IF(AtoutsHandicapsMatos!$C$14=A287,1,0)</f>
        <v>0</v>
      </c>
      <c r="L287">
        <f>IF('Perso Reloaded'!$L$20=A287,1,0)</f>
        <v>0</v>
      </c>
      <c r="M287">
        <f>IF('Perso Reloaded'!$L$21=A287,1,0)</f>
        <v>0</v>
      </c>
      <c r="N287">
        <f>IF('Perso Reloaded'!$L$22=A287,1,0)</f>
        <v>0</v>
      </c>
      <c r="O287">
        <f>IF('Perso Reloaded'!$L$23=A287,1,0)</f>
        <v>0</v>
      </c>
      <c r="P287">
        <f>IF('Perso Reloaded'!$L$24=A287,1,0)</f>
        <v>0</v>
      </c>
      <c r="Q287">
        <f>IF('Perso Reloaded'!$L$25=A287,1,0)</f>
        <v>0</v>
      </c>
      <c r="R287">
        <f>IF('Perso Reloaded'!$L$26=A287,1,0)</f>
        <v>0</v>
      </c>
      <c r="S287">
        <f>IF('Perso Reloaded'!$L$27=A287,1,0)</f>
        <v>0</v>
      </c>
      <c r="T287">
        <f t="shared" si="13"/>
        <v>0</v>
      </c>
      <c r="U287" t="b">
        <f t="shared" si="14"/>
        <v>0</v>
      </c>
    </row>
    <row r="288" spans="1:21" x14ac:dyDescent="0.3">
      <c r="A288" s="65" t="s">
        <v>4821</v>
      </c>
      <c r="B288">
        <f>IF(AtoutsHandicapsMatos!$C$5=A288,1,0)</f>
        <v>0</v>
      </c>
      <c r="C288">
        <f>IF(AtoutsHandicapsMatos!$C$6=A288,1,0)</f>
        <v>0</v>
      </c>
      <c r="D288">
        <f>IF(AtoutsHandicapsMatos!$C$7=A288,1,0)</f>
        <v>0</v>
      </c>
      <c r="E288">
        <f>IF(AtoutsHandicapsMatos!$C$8=A288,1,0)</f>
        <v>0</v>
      </c>
      <c r="F288">
        <f>IF(AtoutsHandicapsMatos!$C$9=A288,1,0)</f>
        <v>0</v>
      </c>
      <c r="G288">
        <f>IF(AtoutsHandicapsMatos!$C$10=A288,1,0)</f>
        <v>0</v>
      </c>
      <c r="H288">
        <f>IF(AtoutsHandicapsMatos!$C$11=A288,1,0)</f>
        <v>0</v>
      </c>
      <c r="I288">
        <f>IF(AtoutsHandicapsMatos!$C$12=A288,1,0)</f>
        <v>0</v>
      </c>
      <c r="J288">
        <f>IF(AtoutsHandicapsMatos!$C$13=A288,1,0)</f>
        <v>0</v>
      </c>
      <c r="K288">
        <f>IF(AtoutsHandicapsMatos!$C$14=A288,1,0)</f>
        <v>0</v>
      </c>
      <c r="L288">
        <f>IF('Perso Reloaded'!$L$20=A288,1,0)</f>
        <v>0</v>
      </c>
      <c r="M288">
        <f>IF('Perso Reloaded'!$L$21=A288,1,0)</f>
        <v>0</v>
      </c>
      <c r="N288">
        <f>IF('Perso Reloaded'!$L$22=A288,1,0)</f>
        <v>0</v>
      </c>
      <c r="O288">
        <f>IF('Perso Reloaded'!$L$23=A288,1,0)</f>
        <v>0</v>
      </c>
      <c r="P288">
        <f>IF('Perso Reloaded'!$L$24=A288,1,0)</f>
        <v>0</v>
      </c>
      <c r="Q288">
        <f>IF('Perso Reloaded'!$L$25=A288,1,0)</f>
        <v>0</v>
      </c>
      <c r="R288">
        <f>IF('Perso Reloaded'!$L$26=A288,1,0)</f>
        <v>0</v>
      </c>
      <c r="S288">
        <f>IF('Perso Reloaded'!$L$27=A288,1,0)</f>
        <v>0</v>
      </c>
      <c r="T288">
        <f t="shared" si="13"/>
        <v>0</v>
      </c>
      <c r="U288" t="b">
        <f t="shared" si="14"/>
        <v>0</v>
      </c>
    </row>
    <row r="289" spans="1:21" x14ac:dyDescent="0.3">
      <c r="A289" s="65" t="s">
        <v>4823</v>
      </c>
      <c r="B289">
        <f>IF(AtoutsHandicapsMatos!$C$5=A289,1,0)</f>
        <v>0</v>
      </c>
      <c r="C289">
        <f>IF(AtoutsHandicapsMatos!$C$6=A289,1,0)</f>
        <v>0</v>
      </c>
      <c r="D289">
        <f>IF(AtoutsHandicapsMatos!$C$7=A289,1,0)</f>
        <v>0</v>
      </c>
      <c r="E289">
        <f>IF(AtoutsHandicapsMatos!$C$8=A289,1,0)</f>
        <v>0</v>
      </c>
      <c r="F289">
        <f>IF(AtoutsHandicapsMatos!$C$9=A289,1,0)</f>
        <v>0</v>
      </c>
      <c r="G289">
        <f>IF(AtoutsHandicapsMatos!$C$10=A289,1,0)</f>
        <v>0</v>
      </c>
      <c r="H289">
        <f>IF(AtoutsHandicapsMatos!$C$11=A289,1,0)</f>
        <v>0</v>
      </c>
      <c r="I289">
        <f>IF(AtoutsHandicapsMatos!$C$12=A289,1,0)</f>
        <v>0</v>
      </c>
      <c r="J289">
        <f>IF(AtoutsHandicapsMatos!$C$13=A289,1,0)</f>
        <v>0</v>
      </c>
      <c r="K289">
        <f>IF(AtoutsHandicapsMatos!$C$14=A289,1,0)</f>
        <v>0</v>
      </c>
      <c r="L289">
        <f>IF('Perso Reloaded'!$L$20=A289,1,0)</f>
        <v>0</v>
      </c>
      <c r="M289">
        <f>IF('Perso Reloaded'!$L$21=A289,1,0)</f>
        <v>0</v>
      </c>
      <c r="N289">
        <f>IF('Perso Reloaded'!$L$22=A289,1,0)</f>
        <v>0</v>
      </c>
      <c r="O289">
        <f>IF('Perso Reloaded'!$L$23=A289,1,0)</f>
        <v>0</v>
      </c>
      <c r="P289">
        <f>IF('Perso Reloaded'!$L$24=A289,1,0)</f>
        <v>0</v>
      </c>
      <c r="Q289">
        <f>IF('Perso Reloaded'!$L$25=A289,1,0)</f>
        <v>0</v>
      </c>
      <c r="R289">
        <f>IF('Perso Reloaded'!$L$26=A289,1,0)</f>
        <v>0</v>
      </c>
      <c r="S289">
        <f>IF('Perso Reloaded'!$L$27=A289,1,0)</f>
        <v>0</v>
      </c>
      <c r="T289">
        <f t="shared" si="13"/>
        <v>0</v>
      </c>
      <c r="U289" t="b">
        <f t="shared" si="14"/>
        <v>0</v>
      </c>
    </row>
    <row r="290" spans="1:21" x14ac:dyDescent="0.3">
      <c r="A290" s="65" t="s">
        <v>4820</v>
      </c>
      <c r="B290">
        <f>IF(AtoutsHandicapsMatos!$C$5=A290,1,0)</f>
        <v>0</v>
      </c>
      <c r="C290">
        <f>IF(AtoutsHandicapsMatos!$C$6=A290,1,0)</f>
        <v>0</v>
      </c>
      <c r="D290">
        <f>IF(AtoutsHandicapsMatos!$C$7=A290,1,0)</f>
        <v>0</v>
      </c>
      <c r="E290">
        <f>IF(AtoutsHandicapsMatos!$C$8=A290,1,0)</f>
        <v>0</v>
      </c>
      <c r="F290">
        <f>IF(AtoutsHandicapsMatos!$C$9=A290,1,0)</f>
        <v>0</v>
      </c>
      <c r="G290">
        <f>IF(AtoutsHandicapsMatos!$C$10=A290,1,0)</f>
        <v>0</v>
      </c>
      <c r="H290">
        <f>IF(AtoutsHandicapsMatos!$C$11=A290,1,0)</f>
        <v>0</v>
      </c>
      <c r="I290">
        <f>IF(AtoutsHandicapsMatos!$C$12=A290,1,0)</f>
        <v>0</v>
      </c>
      <c r="J290">
        <f>IF(AtoutsHandicapsMatos!$C$13=A290,1,0)</f>
        <v>0</v>
      </c>
      <c r="K290">
        <f>IF(AtoutsHandicapsMatos!$C$14=A290,1,0)</f>
        <v>0</v>
      </c>
      <c r="L290">
        <f>IF('Perso Reloaded'!$L$20=A290,1,0)</f>
        <v>0</v>
      </c>
      <c r="M290">
        <f>IF('Perso Reloaded'!$L$21=A290,1,0)</f>
        <v>0</v>
      </c>
      <c r="N290">
        <f>IF('Perso Reloaded'!$L$22=A290,1,0)</f>
        <v>0</v>
      </c>
      <c r="O290">
        <f>IF('Perso Reloaded'!$L$23=A290,1,0)</f>
        <v>0</v>
      </c>
      <c r="P290">
        <f>IF('Perso Reloaded'!$L$24=A290,1,0)</f>
        <v>0</v>
      </c>
      <c r="Q290">
        <f>IF('Perso Reloaded'!$L$25=A290,1,0)</f>
        <v>0</v>
      </c>
      <c r="R290">
        <f>IF('Perso Reloaded'!$L$26=A290,1,0)</f>
        <v>0</v>
      </c>
      <c r="S290">
        <f>IF('Perso Reloaded'!$L$27=A290,1,0)</f>
        <v>0</v>
      </c>
      <c r="T290">
        <f t="shared" si="13"/>
        <v>0</v>
      </c>
      <c r="U290" t="b">
        <f t="shared" si="14"/>
        <v>0</v>
      </c>
    </row>
    <row r="291" spans="1:21" x14ac:dyDescent="0.3">
      <c r="A291" s="65" t="s">
        <v>3304</v>
      </c>
      <c r="B291">
        <f>IF(AtoutsHandicapsMatos!$C$5=A291,1,0)</f>
        <v>0</v>
      </c>
      <c r="C291">
        <f>IF(AtoutsHandicapsMatos!$C$6=A291,1,0)</f>
        <v>0</v>
      </c>
      <c r="D291">
        <f>IF(AtoutsHandicapsMatos!$C$7=A291,1,0)</f>
        <v>0</v>
      </c>
      <c r="E291">
        <f>IF(AtoutsHandicapsMatos!$C$8=A291,1,0)</f>
        <v>0</v>
      </c>
      <c r="F291">
        <f>IF(AtoutsHandicapsMatos!$C$9=A291,1,0)</f>
        <v>0</v>
      </c>
      <c r="G291">
        <f>IF(AtoutsHandicapsMatos!$C$10=A291,1,0)</f>
        <v>0</v>
      </c>
      <c r="H291">
        <f>IF(AtoutsHandicapsMatos!$C$11=A291,1,0)</f>
        <v>0</v>
      </c>
      <c r="I291">
        <f>IF(AtoutsHandicapsMatos!$C$12=A291,1,0)</f>
        <v>0</v>
      </c>
      <c r="J291">
        <f>IF(AtoutsHandicapsMatos!$C$13=A291,1,0)</f>
        <v>0</v>
      </c>
      <c r="K291">
        <f>IF(AtoutsHandicapsMatos!$C$14=A291,1,0)</f>
        <v>0</v>
      </c>
      <c r="L291">
        <f>IF('Perso Reloaded'!$L$20=A291,1,0)</f>
        <v>0</v>
      </c>
      <c r="M291">
        <f>IF('Perso Reloaded'!$L$21=A291,1,0)</f>
        <v>0</v>
      </c>
      <c r="N291">
        <f>IF('Perso Reloaded'!$L$22=A291,1,0)</f>
        <v>0</v>
      </c>
      <c r="O291">
        <f>IF('Perso Reloaded'!$L$23=A291,1,0)</f>
        <v>0</v>
      </c>
      <c r="P291">
        <f>IF('Perso Reloaded'!$L$24=A291,1,0)</f>
        <v>0</v>
      </c>
      <c r="Q291">
        <f>IF('Perso Reloaded'!$L$25=A291,1,0)</f>
        <v>0</v>
      </c>
      <c r="R291">
        <f>IF('Perso Reloaded'!$L$26=A291,1,0)</f>
        <v>0</v>
      </c>
      <c r="S291">
        <f>IF('Perso Reloaded'!$L$27=A291,1,0)</f>
        <v>0</v>
      </c>
      <c r="T291">
        <f t="shared" si="13"/>
        <v>0</v>
      </c>
      <c r="U291" t="b">
        <f t="shared" si="14"/>
        <v>0</v>
      </c>
    </row>
    <row r="292" spans="1:21" x14ac:dyDescent="0.3">
      <c r="A292" s="65" t="s">
        <v>1082</v>
      </c>
      <c r="B292">
        <f>IF(AtoutsHandicapsMatos!$C$5=A292,1,0)</f>
        <v>0</v>
      </c>
      <c r="C292">
        <f>IF(AtoutsHandicapsMatos!$C$6=A292,1,0)</f>
        <v>0</v>
      </c>
      <c r="D292">
        <f>IF(AtoutsHandicapsMatos!$C$7=A292,1,0)</f>
        <v>0</v>
      </c>
      <c r="E292">
        <f>IF(AtoutsHandicapsMatos!$C$8=A292,1,0)</f>
        <v>0</v>
      </c>
      <c r="F292">
        <f>IF(AtoutsHandicapsMatos!$C$9=A292,1,0)</f>
        <v>0</v>
      </c>
      <c r="G292">
        <f>IF(AtoutsHandicapsMatos!$C$10=A292,1,0)</f>
        <v>0</v>
      </c>
      <c r="H292">
        <f>IF(AtoutsHandicapsMatos!$C$11=A292,1,0)</f>
        <v>0</v>
      </c>
      <c r="I292">
        <f>IF(AtoutsHandicapsMatos!$C$12=A292,1,0)</f>
        <v>0</v>
      </c>
      <c r="J292">
        <f>IF(AtoutsHandicapsMatos!$C$13=A292,1,0)</f>
        <v>0</v>
      </c>
      <c r="K292">
        <f>IF(AtoutsHandicapsMatos!$C$14=A292,1,0)</f>
        <v>0</v>
      </c>
      <c r="L292">
        <f>IF('Perso Reloaded'!$L$20=A292,1,0)</f>
        <v>0</v>
      </c>
      <c r="M292">
        <f>IF('Perso Reloaded'!$L$21=A292,1,0)</f>
        <v>0</v>
      </c>
      <c r="N292">
        <f>IF('Perso Reloaded'!$L$22=A292,1,0)</f>
        <v>0</v>
      </c>
      <c r="O292">
        <f>IF('Perso Reloaded'!$L$23=A292,1,0)</f>
        <v>0</v>
      </c>
      <c r="P292">
        <f>IF('Perso Reloaded'!$L$24=A292,1,0)</f>
        <v>0</v>
      </c>
      <c r="Q292">
        <f>IF('Perso Reloaded'!$L$25=A292,1,0)</f>
        <v>0</v>
      </c>
      <c r="R292">
        <f>IF('Perso Reloaded'!$L$26=A292,1,0)</f>
        <v>0</v>
      </c>
      <c r="S292">
        <f>IF('Perso Reloaded'!$L$27=A292,1,0)</f>
        <v>0</v>
      </c>
      <c r="T292">
        <f t="shared" si="13"/>
        <v>0</v>
      </c>
      <c r="U292" t="b">
        <f t="shared" si="14"/>
        <v>0</v>
      </c>
    </row>
    <row r="293" spans="1:21" x14ac:dyDescent="0.3">
      <c r="A293" s="65" t="s">
        <v>4701</v>
      </c>
      <c r="B293">
        <f>IF(AtoutsHandicapsMatos!$C$5=A293,1,0)</f>
        <v>0</v>
      </c>
      <c r="C293">
        <f>IF(AtoutsHandicapsMatos!$C$6=A293,1,0)</f>
        <v>0</v>
      </c>
      <c r="D293">
        <f>IF(AtoutsHandicapsMatos!$C$7=A293,1,0)</f>
        <v>0</v>
      </c>
      <c r="E293">
        <f>IF(AtoutsHandicapsMatos!$C$8=A293,1,0)</f>
        <v>0</v>
      </c>
      <c r="F293">
        <f>IF(AtoutsHandicapsMatos!$C$9=A293,1,0)</f>
        <v>0</v>
      </c>
      <c r="G293">
        <f>IF(AtoutsHandicapsMatos!$C$10=A293,1,0)</f>
        <v>0</v>
      </c>
      <c r="H293">
        <f>IF(AtoutsHandicapsMatos!$C$11=A293,1,0)</f>
        <v>0</v>
      </c>
      <c r="I293">
        <f>IF(AtoutsHandicapsMatos!$C$12=A293,1,0)</f>
        <v>0</v>
      </c>
      <c r="J293">
        <f>IF(AtoutsHandicapsMatos!$C$13=A293,1,0)</f>
        <v>0</v>
      </c>
      <c r="K293">
        <f>IF(AtoutsHandicapsMatos!$C$14=A293,1,0)</f>
        <v>0</v>
      </c>
      <c r="L293">
        <f>IF('Perso Reloaded'!$L$20=A293,1,0)</f>
        <v>0</v>
      </c>
      <c r="M293">
        <f>IF('Perso Reloaded'!$L$21=A293,1,0)</f>
        <v>0</v>
      </c>
      <c r="N293">
        <f>IF('Perso Reloaded'!$L$22=A293,1,0)</f>
        <v>0</v>
      </c>
      <c r="O293">
        <f>IF('Perso Reloaded'!$L$23=A293,1,0)</f>
        <v>0</v>
      </c>
      <c r="P293">
        <f>IF('Perso Reloaded'!$L$24=A293,1,0)</f>
        <v>0</v>
      </c>
      <c r="Q293">
        <f>IF('Perso Reloaded'!$L$25=A293,1,0)</f>
        <v>0</v>
      </c>
      <c r="R293">
        <f>IF('Perso Reloaded'!$L$26=A293,1,0)</f>
        <v>0</v>
      </c>
      <c r="S293">
        <f>IF('Perso Reloaded'!$L$27=A293,1,0)</f>
        <v>0</v>
      </c>
      <c r="T293">
        <f t="shared" si="13"/>
        <v>0</v>
      </c>
      <c r="U293" t="b">
        <f t="shared" si="14"/>
        <v>0</v>
      </c>
    </row>
    <row r="294" spans="1:21" x14ac:dyDescent="0.3">
      <c r="A294" s="65" t="s">
        <v>3299</v>
      </c>
      <c r="B294">
        <f>IF(AtoutsHandicapsMatos!$C$5=A294,1,0)</f>
        <v>0</v>
      </c>
      <c r="C294">
        <f>IF(AtoutsHandicapsMatos!$C$6=A294,1,0)</f>
        <v>0</v>
      </c>
      <c r="D294">
        <f>IF(AtoutsHandicapsMatos!$C$7=A294,1,0)</f>
        <v>0</v>
      </c>
      <c r="E294">
        <f>IF(AtoutsHandicapsMatos!$C$8=A294,1,0)</f>
        <v>0</v>
      </c>
      <c r="F294">
        <f>IF(AtoutsHandicapsMatos!$C$9=A294,1,0)</f>
        <v>0</v>
      </c>
      <c r="G294">
        <f>IF(AtoutsHandicapsMatos!$C$10=A294,1,0)</f>
        <v>0</v>
      </c>
      <c r="H294">
        <f>IF(AtoutsHandicapsMatos!$C$11=A294,1,0)</f>
        <v>0</v>
      </c>
      <c r="I294">
        <f>IF(AtoutsHandicapsMatos!$C$12=A294,1,0)</f>
        <v>0</v>
      </c>
      <c r="J294">
        <f>IF(AtoutsHandicapsMatos!$C$13=A294,1,0)</f>
        <v>0</v>
      </c>
      <c r="K294">
        <f>IF(AtoutsHandicapsMatos!$C$14=A294,1,0)</f>
        <v>0</v>
      </c>
      <c r="L294">
        <f>IF('Perso Reloaded'!$L$20=A294,1,0)</f>
        <v>0</v>
      </c>
      <c r="M294">
        <f>IF('Perso Reloaded'!$L$21=A294,1,0)</f>
        <v>0</v>
      </c>
      <c r="N294">
        <f>IF('Perso Reloaded'!$L$22=A294,1,0)</f>
        <v>0</v>
      </c>
      <c r="O294">
        <f>IF('Perso Reloaded'!$L$23=A294,1,0)</f>
        <v>0</v>
      </c>
      <c r="P294">
        <f>IF('Perso Reloaded'!$L$24=A294,1,0)</f>
        <v>0</v>
      </c>
      <c r="Q294">
        <f>IF('Perso Reloaded'!$L$25=A294,1,0)</f>
        <v>0</v>
      </c>
      <c r="R294">
        <f>IF('Perso Reloaded'!$L$26=A294,1,0)</f>
        <v>0</v>
      </c>
      <c r="S294">
        <f>IF('Perso Reloaded'!$L$27=A294,1,0)</f>
        <v>0</v>
      </c>
      <c r="T294">
        <f t="shared" si="13"/>
        <v>0</v>
      </c>
      <c r="U294" t="b">
        <f t="shared" si="14"/>
        <v>0</v>
      </c>
    </row>
    <row r="295" spans="1:21" x14ac:dyDescent="0.3">
      <c r="A295" s="65" t="s">
        <v>285</v>
      </c>
      <c r="B295">
        <f>IF(AtoutsHandicapsMatos!$C$5=A295,1,0)</f>
        <v>0</v>
      </c>
      <c r="C295">
        <f>IF(AtoutsHandicapsMatos!$C$6=A295,1,0)</f>
        <v>0</v>
      </c>
      <c r="D295">
        <f>IF(AtoutsHandicapsMatos!$C$7=A295,1,0)</f>
        <v>0</v>
      </c>
      <c r="E295">
        <f>IF(AtoutsHandicapsMatos!$C$8=A295,1,0)</f>
        <v>0</v>
      </c>
      <c r="F295">
        <f>IF(AtoutsHandicapsMatos!$C$9=A295,1,0)</f>
        <v>0</v>
      </c>
      <c r="G295">
        <f>IF(AtoutsHandicapsMatos!$C$10=A295,1,0)</f>
        <v>0</v>
      </c>
      <c r="H295">
        <f>IF(AtoutsHandicapsMatos!$C$11=A295,1,0)</f>
        <v>0</v>
      </c>
      <c r="I295">
        <f>IF(AtoutsHandicapsMatos!$C$12=A295,1,0)</f>
        <v>0</v>
      </c>
      <c r="J295">
        <f>IF(AtoutsHandicapsMatos!$C$13=A295,1,0)</f>
        <v>0</v>
      </c>
      <c r="K295">
        <f>IF(AtoutsHandicapsMatos!$C$14=A295,1,0)</f>
        <v>0</v>
      </c>
      <c r="L295">
        <f>IF('Perso Reloaded'!$L$20=A295,1,0)</f>
        <v>0</v>
      </c>
      <c r="M295">
        <f>IF('Perso Reloaded'!$L$21=A295,1,0)</f>
        <v>0</v>
      </c>
      <c r="N295">
        <f>IF('Perso Reloaded'!$L$22=A295,1,0)</f>
        <v>0</v>
      </c>
      <c r="O295">
        <f>IF('Perso Reloaded'!$L$23=A295,1,0)</f>
        <v>0</v>
      </c>
      <c r="P295">
        <f>IF('Perso Reloaded'!$L$24=A295,1,0)</f>
        <v>0</v>
      </c>
      <c r="Q295">
        <f>IF('Perso Reloaded'!$L$25=A295,1,0)</f>
        <v>0</v>
      </c>
      <c r="R295">
        <f>IF('Perso Reloaded'!$L$26=A295,1,0)</f>
        <v>0</v>
      </c>
      <c r="S295">
        <f>IF('Perso Reloaded'!$L$27=A295,1,0)</f>
        <v>0</v>
      </c>
      <c r="T295">
        <f t="shared" si="13"/>
        <v>0</v>
      </c>
      <c r="U295" t="b">
        <f t="shared" si="14"/>
        <v>0</v>
      </c>
    </row>
    <row r="296" spans="1:21" x14ac:dyDescent="0.3">
      <c r="A296" s="65" t="s">
        <v>3324</v>
      </c>
      <c r="B296">
        <f>IF(AtoutsHandicapsMatos!$C$5=A296,1,0)</f>
        <v>0</v>
      </c>
      <c r="C296">
        <f>IF(AtoutsHandicapsMatos!$C$6=A296,1,0)</f>
        <v>0</v>
      </c>
      <c r="D296">
        <f>IF(AtoutsHandicapsMatos!$C$7=A296,1,0)</f>
        <v>0</v>
      </c>
      <c r="E296">
        <f>IF(AtoutsHandicapsMatos!$C$8=A296,1,0)</f>
        <v>0</v>
      </c>
      <c r="F296">
        <f>IF(AtoutsHandicapsMatos!$C$9=A296,1,0)</f>
        <v>0</v>
      </c>
      <c r="G296">
        <f>IF(AtoutsHandicapsMatos!$C$10=A296,1,0)</f>
        <v>0</v>
      </c>
      <c r="H296">
        <f>IF(AtoutsHandicapsMatos!$C$11=A296,1,0)</f>
        <v>0</v>
      </c>
      <c r="I296">
        <f>IF(AtoutsHandicapsMatos!$C$12=A296,1,0)</f>
        <v>0</v>
      </c>
      <c r="J296">
        <f>IF(AtoutsHandicapsMatos!$C$13=A296,1,0)</f>
        <v>0</v>
      </c>
      <c r="K296">
        <f>IF(AtoutsHandicapsMatos!$C$14=A296,1,0)</f>
        <v>0</v>
      </c>
      <c r="L296">
        <f>IF('Perso Reloaded'!$L$20=A296,1,0)</f>
        <v>0</v>
      </c>
      <c r="M296">
        <f>IF('Perso Reloaded'!$L$21=A296,1,0)</f>
        <v>0</v>
      </c>
      <c r="N296">
        <f>IF('Perso Reloaded'!$L$22=A296,1,0)</f>
        <v>0</v>
      </c>
      <c r="O296">
        <f>IF('Perso Reloaded'!$L$23=A296,1,0)</f>
        <v>0</v>
      </c>
      <c r="P296">
        <f>IF('Perso Reloaded'!$L$24=A296,1,0)</f>
        <v>0</v>
      </c>
      <c r="Q296">
        <f>IF('Perso Reloaded'!$L$25=A296,1,0)</f>
        <v>0</v>
      </c>
      <c r="R296">
        <f>IF('Perso Reloaded'!$L$26=A296,1,0)</f>
        <v>0</v>
      </c>
      <c r="S296">
        <f>IF('Perso Reloaded'!$L$27=A296,1,0)</f>
        <v>0</v>
      </c>
      <c r="T296">
        <f t="shared" si="13"/>
        <v>0</v>
      </c>
      <c r="U296" t="b">
        <f t="shared" si="14"/>
        <v>0</v>
      </c>
    </row>
    <row r="297" spans="1:21" x14ac:dyDescent="0.3">
      <c r="A297" s="65" t="s">
        <v>5206</v>
      </c>
      <c r="B297">
        <f>IF(AtoutsHandicapsMatos!$C$5=A297,1,0)</f>
        <v>0</v>
      </c>
      <c r="C297">
        <f>IF(AtoutsHandicapsMatos!$C$6=A297,1,0)</f>
        <v>0</v>
      </c>
      <c r="D297">
        <f>IF(AtoutsHandicapsMatos!$C$7=A297,1,0)</f>
        <v>0</v>
      </c>
      <c r="E297">
        <f>IF(AtoutsHandicapsMatos!$C$8=A297,1,0)</f>
        <v>0</v>
      </c>
      <c r="F297">
        <f>IF(AtoutsHandicapsMatos!$C$9=A297,1,0)</f>
        <v>0</v>
      </c>
      <c r="G297">
        <f>IF(AtoutsHandicapsMatos!$C$10=A297,1,0)</f>
        <v>0</v>
      </c>
      <c r="H297">
        <f>IF(AtoutsHandicapsMatos!$C$11=A297,1,0)</f>
        <v>0</v>
      </c>
      <c r="I297">
        <f>IF(AtoutsHandicapsMatos!$C$12=A297,1,0)</f>
        <v>0</v>
      </c>
      <c r="J297">
        <f>IF(AtoutsHandicapsMatos!$C$13=A297,1,0)</f>
        <v>0</v>
      </c>
      <c r="K297">
        <f>IF(AtoutsHandicapsMatos!$C$14=A297,1,0)</f>
        <v>0</v>
      </c>
      <c r="L297">
        <f>IF('Perso Reloaded'!$L$20=A297,1,0)</f>
        <v>0</v>
      </c>
      <c r="M297">
        <f>IF('Perso Reloaded'!$L$21=A297,1,0)</f>
        <v>0</v>
      </c>
      <c r="N297">
        <f>IF('Perso Reloaded'!$L$22=A297,1,0)</f>
        <v>0</v>
      </c>
      <c r="O297">
        <f>IF('Perso Reloaded'!$L$23=A297,1,0)</f>
        <v>0</v>
      </c>
      <c r="P297">
        <f>IF('Perso Reloaded'!$L$24=A297,1,0)</f>
        <v>0</v>
      </c>
      <c r="Q297">
        <f>IF('Perso Reloaded'!$L$25=A297,1,0)</f>
        <v>0</v>
      </c>
      <c r="R297">
        <f>IF('Perso Reloaded'!$L$26=A297,1,0)</f>
        <v>0</v>
      </c>
      <c r="S297">
        <f>IF('Perso Reloaded'!$L$27=A297,1,0)</f>
        <v>0</v>
      </c>
      <c r="T297">
        <f t="shared" si="13"/>
        <v>0</v>
      </c>
      <c r="U297" t="b">
        <f t="shared" si="14"/>
        <v>0</v>
      </c>
    </row>
    <row r="298" spans="1:21" x14ac:dyDescent="0.3">
      <c r="A298" s="65" t="s">
        <v>288</v>
      </c>
      <c r="B298">
        <f>IF(AtoutsHandicapsMatos!$C$5=A298,1,0)</f>
        <v>0</v>
      </c>
      <c r="C298">
        <f>IF(AtoutsHandicapsMatos!$C$6=A298,1,0)</f>
        <v>0</v>
      </c>
      <c r="D298">
        <f>IF(AtoutsHandicapsMatos!$C$7=A298,1,0)</f>
        <v>0</v>
      </c>
      <c r="E298">
        <f>IF(AtoutsHandicapsMatos!$C$8=A298,1,0)</f>
        <v>0</v>
      </c>
      <c r="F298">
        <f>IF(AtoutsHandicapsMatos!$C$9=A298,1,0)</f>
        <v>0</v>
      </c>
      <c r="G298">
        <f>IF(AtoutsHandicapsMatos!$C$10=A298,1,0)</f>
        <v>0</v>
      </c>
      <c r="H298">
        <f>IF(AtoutsHandicapsMatos!$C$11=A298,1,0)</f>
        <v>0</v>
      </c>
      <c r="I298">
        <f>IF(AtoutsHandicapsMatos!$C$12=A298,1,0)</f>
        <v>0</v>
      </c>
      <c r="J298">
        <f>IF(AtoutsHandicapsMatos!$C$13=A298,1,0)</f>
        <v>0</v>
      </c>
      <c r="K298">
        <f>IF(AtoutsHandicapsMatos!$C$14=A298,1,0)</f>
        <v>0</v>
      </c>
      <c r="L298">
        <f>IF('Perso Reloaded'!$L$20=A298,1,0)</f>
        <v>0</v>
      </c>
      <c r="M298">
        <f>IF('Perso Reloaded'!$L$21=A298,1,0)</f>
        <v>0</v>
      </c>
      <c r="N298">
        <f>IF('Perso Reloaded'!$L$22=A298,1,0)</f>
        <v>0</v>
      </c>
      <c r="O298">
        <f>IF('Perso Reloaded'!$L$23=A298,1,0)</f>
        <v>0</v>
      </c>
      <c r="P298">
        <f>IF('Perso Reloaded'!$L$24=A298,1,0)</f>
        <v>0</v>
      </c>
      <c r="Q298">
        <f>IF('Perso Reloaded'!$L$25=A298,1,0)</f>
        <v>0</v>
      </c>
      <c r="R298">
        <f>IF('Perso Reloaded'!$L$26=A298,1,0)</f>
        <v>0</v>
      </c>
      <c r="S298">
        <f>IF('Perso Reloaded'!$L$27=A298,1,0)</f>
        <v>0</v>
      </c>
      <c r="T298">
        <f t="shared" si="13"/>
        <v>0</v>
      </c>
      <c r="U298" t="b">
        <f t="shared" si="14"/>
        <v>0</v>
      </c>
    </row>
    <row r="299" spans="1:21" x14ac:dyDescent="0.3">
      <c r="A299" s="65" t="s">
        <v>290</v>
      </c>
      <c r="B299">
        <f>IF(AtoutsHandicapsMatos!$C$5=A299,1,0)</f>
        <v>0</v>
      </c>
      <c r="C299">
        <f>IF(AtoutsHandicapsMatos!$C$6=A299,1,0)</f>
        <v>0</v>
      </c>
      <c r="D299">
        <f>IF(AtoutsHandicapsMatos!$C$7=A299,1,0)</f>
        <v>0</v>
      </c>
      <c r="E299">
        <f>IF(AtoutsHandicapsMatos!$C$8=A299,1,0)</f>
        <v>0</v>
      </c>
      <c r="F299">
        <f>IF(AtoutsHandicapsMatos!$C$9=A299,1,0)</f>
        <v>0</v>
      </c>
      <c r="G299">
        <f>IF(AtoutsHandicapsMatos!$C$10=A299,1,0)</f>
        <v>0</v>
      </c>
      <c r="H299">
        <f>IF(AtoutsHandicapsMatos!$C$11=A299,1,0)</f>
        <v>0</v>
      </c>
      <c r="I299">
        <f>IF(AtoutsHandicapsMatos!$C$12=A299,1,0)</f>
        <v>0</v>
      </c>
      <c r="J299">
        <f>IF(AtoutsHandicapsMatos!$C$13=A299,1,0)</f>
        <v>0</v>
      </c>
      <c r="K299">
        <f>IF(AtoutsHandicapsMatos!$C$14=A299,1,0)</f>
        <v>0</v>
      </c>
      <c r="L299">
        <f>IF('Perso Reloaded'!$L$20=A299,1,0)</f>
        <v>0</v>
      </c>
      <c r="M299">
        <f>IF('Perso Reloaded'!$L$21=A299,1,0)</f>
        <v>0</v>
      </c>
      <c r="N299">
        <f>IF('Perso Reloaded'!$L$22=A299,1,0)</f>
        <v>0</v>
      </c>
      <c r="O299">
        <f>IF('Perso Reloaded'!$L$23=A299,1,0)</f>
        <v>0</v>
      </c>
      <c r="P299">
        <f>IF('Perso Reloaded'!$L$24=A299,1,0)</f>
        <v>0</v>
      </c>
      <c r="Q299">
        <f>IF('Perso Reloaded'!$L$25=A299,1,0)</f>
        <v>0</v>
      </c>
      <c r="R299">
        <f>IF('Perso Reloaded'!$L$26=A299,1,0)</f>
        <v>0</v>
      </c>
      <c r="S299">
        <f>IF('Perso Reloaded'!$L$27=A299,1,0)</f>
        <v>0</v>
      </c>
      <c r="T299">
        <f t="shared" si="13"/>
        <v>0</v>
      </c>
      <c r="U299" t="b">
        <f t="shared" si="14"/>
        <v>0</v>
      </c>
    </row>
    <row r="300" spans="1:21" x14ac:dyDescent="0.3">
      <c r="A300" s="65" t="s">
        <v>289</v>
      </c>
      <c r="B300">
        <f>IF(AtoutsHandicapsMatos!$C$5=A300,1,0)</f>
        <v>0</v>
      </c>
      <c r="C300">
        <f>IF(AtoutsHandicapsMatos!$C$6=A300,1,0)</f>
        <v>0</v>
      </c>
      <c r="D300">
        <f>IF(AtoutsHandicapsMatos!$C$7=A300,1,0)</f>
        <v>0</v>
      </c>
      <c r="E300">
        <f>IF(AtoutsHandicapsMatos!$C$8=A300,1,0)</f>
        <v>0</v>
      </c>
      <c r="F300">
        <f>IF(AtoutsHandicapsMatos!$C$9=A300,1,0)</f>
        <v>0</v>
      </c>
      <c r="G300">
        <f>IF(AtoutsHandicapsMatos!$C$10=A300,1,0)</f>
        <v>0</v>
      </c>
      <c r="H300">
        <f>IF(AtoutsHandicapsMatos!$C$11=A300,1,0)</f>
        <v>0</v>
      </c>
      <c r="I300">
        <f>IF(AtoutsHandicapsMatos!$C$12=A300,1,0)</f>
        <v>0</v>
      </c>
      <c r="J300">
        <f>IF(AtoutsHandicapsMatos!$C$13=A300,1,0)</f>
        <v>0</v>
      </c>
      <c r="K300">
        <f>IF(AtoutsHandicapsMatos!$C$14=A300,1,0)</f>
        <v>0</v>
      </c>
      <c r="L300">
        <f>IF('Perso Reloaded'!$L$20=A300,1,0)</f>
        <v>0</v>
      </c>
      <c r="M300">
        <f>IF('Perso Reloaded'!$L$21=A300,1,0)</f>
        <v>0</v>
      </c>
      <c r="N300">
        <f>IF('Perso Reloaded'!$L$22=A300,1,0)</f>
        <v>0</v>
      </c>
      <c r="O300">
        <f>IF('Perso Reloaded'!$L$23=A300,1,0)</f>
        <v>0</v>
      </c>
      <c r="P300">
        <f>IF('Perso Reloaded'!$L$24=A300,1,0)</f>
        <v>0</v>
      </c>
      <c r="Q300">
        <f>IF('Perso Reloaded'!$L$25=A300,1,0)</f>
        <v>0</v>
      </c>
      <c r="R300">
        <f>IF('Perso Reloaded'!$L$26=A300,1,0)</f>
        <v>0</v>
      </c>
      <c r="S300">
        <f>IF('Perso Reloaded'!$L$27=A300,1,0)</f>
        <v>0</v>
      </c>
      <c r="T300">
        <f t="shared" si="13"/>
        <v>0</v>
      </c>
      <c r="U300" t="b">
        <f t="shared" si="14"/>
        <v>0</v>
      </c>
    </row>
    <row r="301" spans="1:21" x14ac:dyDescent="0.3">
      <c r="A301" s="65" t="s">
        <v>287</v>
      </c>
      <c r="B301">
        <f>IF(AtoutsHandicapsMatos!$C$5=A301,1,0)</f>
        <v>0</v>
      </c>
      <c r="C301">
        <f>IF(AtoutsHandicapsMatos!$C$6=A301,1,0)</f>
        <v>0</v>
      </c>
      <c r="D301">
        <f>IF(AtoutsHandicapsMatos!$C$7=A301,1,0)</f>
        <v>0</v>
      </c>
      <c r="E301">
        <f>IF(AtoutsHandicapsMatos!$C$8=A301,1,0)</f>
        <v>0</v>
      </c>
      <c r="F301">
        <f>IF(AtoutsHandicapsMatos!$C$9=A301,1,0)</f>
        <v>0</v>
      </c>
      <c r="G301">
        <f>IF(AtoutsHandicapsMatos!$C$10=A301,1,0)</f>
        <v>0</v>
      </c>
      <c r="H301">
        <f>IF(AtoutsHandicapsMatos!$C$11=A301,1,0)</f>
        <v>0</v>
      </c>
      <c r="I301">
        <f>IF(AtoutsHandicapsMatos!$C$12=A301,1,0)</f>
        <v>0</v>
      </c>
      <c r="J301">
        <f>IF(AtoutsHandicapsMatos!$C$13=A301,1,0)</f>
        <v>0</v>
      </c>
      <c r="K301">
        <f>IF(AtoutsHandicapsMatos!$C$14=A301,1,0)</f>
        <v>0</v>
      </c>
      <c r="L301">
        <f>IF('Perso Reloaded'!$L$20=A301,1,0)</f>
        <v>0</v>
      </c>
      <c r="M301">
        <f>IF('Perso Reloaded'!$L$21=A301,1,0)</f>
        <v>0</v>
      </c>
      <c r="N301">
        <f>IF('Perso Reloaded'!$L$22=A301,1,0)</f>
        <v>0</v>
      </c>
      <c r="O301">
        <f>IF('Perso Reloaded'!$L$23=A301,1,0)</f>
        <v>0</v>
      </c>
      <c r="P301">
        <f>IF('Perso Reloaded'!$L$24=A301,1,0)</f>
        <v>0</v>
      </c>
      <c r="Q301">
        <f>IF('Perso Reloaded'!$L$25=A301,1,0)</f>
        <v>0</v>
      </c>
      <c r="R301">
        <f>IF('Perso Reloaded'!$L$26=A301,1,0)</f>
        <v>0</v>
      </c>
      <c r="S301">
        <f>IF('Perso Reloaded'!$L$27=A301,1,0)</f>
        <v>0</v>
      </c>
      <c r="T301">
        <f t="shared" si="13"/>
        <v>0</v>
      </c>
      <c r="U301" t="b">
        <f t="shared" si="14"/>
        <v>0</v>
      </c>
    </row>
    <row r="302" spans="1:21" x14ac:dyDescent="0.3">
      <c r="A302" s="65" t="s">
        <v>291</v>
      </c>
      <c r="B302">
        <f>IF(AtoutsHandicapsMatos!$C$5=A302,1,0)</f>
        <v>0</v>
      </c>
      <c r="C302">
        <f>IF(AtoutsHandicapsMatos!$C$6=A302,1,0)</f>
        <v>0</v>
      </c>
      <c r="D302">
        <f>IF(AtoutsHandicapsMatos!$C$7=A302,1,0)</f>
        <v>0</v>
      </c>
      <c r="E302">
        <f>IF(AtoutsHandicapsMatos!$C$8=A302,1,0)</f>
        <v>0</v>
      </c>
      <c r="F302">
        <f>IF(AtoutsHandicapsMatos!$C$9=A302,1,0)</f>
        <v>0</v>
      </c>
      <c r="G302">
        <f>IF(AtoutsHandicapsMatos!$C$10=A302,1,0)</f>
        <v>0</v>
      </c>
      <c r="H302">
        <f>IF(AtoutsHandicapsMatos!$C$11=A302,1,0)</f>
        <v>0</v>
      </c>
      <c r="I302">
        <f>IF(AtoutsHandicapsMatos!$C$12=A302,1,0)</f>
        <v>0</v>
      </c>
      <c r="J302">
        <f>IF(AtoutsHandicapsMatos!$C$13=A302,1,0)</f>
        <v>0</v>
      </c>
      <c r="K302">
        <f>IF(AtoutsHandicapsMatos!$C$14=A302,1,0)</f>
        <v>0</v>
      </c>
      <c r="L302">
        <f>IF('Perso Reloaded'!$L$20=A302,1,0)</f>
        <v>0</v>
      </c>
      <c r="M302">
        <f>IF('Perso Reloaded'!$L$21=A302,1,0)</f>
        <v>0</v>
      </c>
      <c r="N302">
        <f>IF('Perso Reloaded'!$L$22=A302,1,0)</f>
        <v>0</v>
      </c>
      <c r="O302">
        <f>IF('Perso Reloaded'!$L$23=A302,1,0)</f>
        <v>0</v>
      </c>
      <c r="P302">
        <f>IF('Perso Reloaded'!$L$24=A302,1,0)</f>
        <v>0</v>
      </c>
      <c r="Q302">
        <f>IF('Perso Reloaded'!$L$25=A302,1,0)</f>
        <v>0</v>
      </c>
      <c r="R302">
        <f>IF('Perso Reloaded'!$L$26=A302,1,0)</f>
        <v>0</v>
      </c>
      <c r="S302">
        <f>IF('Perso Reloaded'!$L$27=A302,1,0)</f>
        <v>0</v>
      </c>
      <c r="T302">
        <f t="shared" si="13"/>
        <v>0</v>
      </c>
      <c r="U302" t="b">
        <f t="shared" si="14"/>
        <v>0</v>
      </c>
    </row>
    <row r="303" spans="1:21" x14ac:dyDescent="0.3">
      <c r="A303" s="65" t="s">
        <v>286</v>
      </c>
      <c r="B303">
        <f>IF(AtoutsHandicapsMatos!$C$5=A303,1,0)</f>
        <v>0</v>
      </c>
      <c r="C303">
        <f>IF(AtoutsHandicapsMatos!$C$6=A303,1,0)</f>
        <v>0</v>
      </c>
      <c r="D303">
        <f>IF(AtoutsHandicapsMatos!$C$7=A303,1,0)</f>
        <v>0</v>
      </c>
      <c r="E303">
        <f>IF(AtoutsHandicapsMatos!$C$8=A303,1,0)</f>
        <v>0</v>
      </c>
      <c r="F303">
        <f>IF(AtoutsHandicapsMatos!$C$9=A303,1,0)</f>
        <v>0</v>
      </c>
      <c r="G303">
        <f>IF(AtoutsHandicapsMatos!$C$10=A303,1,0)</f>
        <v>0</v>
      </c>
      <c r="H303">
        <f>IF(AtoutsHandicapsMatos!$C$11=A303,1,0)</f>
        <v>0</v>
      </c>
      <c r="I303">
        <f>IF(AtoutsHandicapsMatos!$C$12=A303,1,0)</f>
        <v>0</v>
      </c>
      <c r="J303">
        <f>IF(AtoutsHandicapsMatos!$C$13=A303,1,0)</f>
        <v>0</v>
      </c>
      <c r="K303">
        <f>IF(AtoutsHandicapsMatos!$C$14=A303,1,0)</f>
        <v>0</v>
      </c>
      <c r="L303">
        <f>IF('Perso Reloaded'!$L$20=A303,1,0)</f>
        <v>0</v>
      </c>
      <c r="M303">
        <f>IF('Perso Reloaded'!$L$21=A303,1,0)</f>
        <v>0</v>
      </c>
      <c r="N303">
        <f>IF('Perso Reloaded'!$L$22=A303,1,0)</f>
        <v>0</v>
      </c>
      <c r="O303">
        <f>IF('Perso Reloaded'!$L$23=A303,1,0)</f>
        <v>0</v>
      </c>
      <c r="P303">
        <f>IF('Perso Reloaded'!$L$24=A303,1,0)</f>
        <v>0</v>
      </c>
      <c r="Q303">
        <f>IF('Perso Reloaded'!$L$25=A303,1,0)</f>
        <v>0</v>
      </c>
      <c r="R303">
        <f>IF('Perso Reloaded'!$L$26=A303,1,0)</f>
        <v>0</v>
      </c>
      <c r="S303">
        <f>IF('Perso Reloaded'!$L$27=A303,1,0)</f>
        <v>0</v>
      </c>
      <c r="T303">
        <f t="shared" si="13"/>
        <v>0</v>
      </c>
      <c r="U303" t="b">
        <f t="shared" si="14"/>
        <v>0</v>
      </c>
    </row>
    <row r="304" spans="1:21" x14ac:dyDescent="0.3">
      <c r="A304" s="65" t="s">
        <v>3478</v>
      </c>
      <c r="B304">
        <f>IF(AtoutsHandicapsMatos!$C$5=A304,1,0)</f>
        <v>0</v>
      </c>
      <c r="C304">
        <f>IF(AtoutsHandicapsMatos!$C$6=A304,1,0)</f>
        <v>0</v>
      </c>
      <c r="D304">
        <f>IF(AtoutsHandicapsMatos!$C$7=A304,1,0)</f>
        <v>0</v>
      </c>
      <c r="E304">
        <f>IF(AtoutsHandicapsMatos!$C$8=A304,1,0)</f>
        <v>0</v>
      </c>
      <c r="F304">
        <f>IF(AtoutsHandicapsMatos!$C$9=A304,1,0)</f>
        <v>0</v>
      </c>
      <c r="G304">
        <f>IF(AtoutsHandicapsMatos!$C$10=A304,1,0)</f>
        <v>0</v>
      </c>
      <c r="H304">
        <f>IF(AtoutsHandicapsMatos!$C$11=A304,1,0)</f>
        <v>0</v>
      </c>
      <c r="I304">
        <f>IF(AtoutsHandicapsMatos!$C$12=A304,1,0)</f>
        <v>0</v>
      </c>
      <c r="J304">
        <f>IF(AtoutsHandicapsMatos!$C$13=A304,1,0)</f>
        <v>0</v>
      </c>
      <c r="K304">
        <f>IF(AtoutsHandicapsMatos!$C$14=A304,1,0)</f>
        <v>0</v>
      </c>
      <c r="L304">
        <f>IF('Perso Reloaded'!$L$20=A304,1,0)</f>
        <v>0</v>
      </c>
      <c r="M304">
        <f>IF('Perso Reloaded'!$L$21=A304,1,0)</f>
        <v>0</v>
      </c>
      <c r="N304">
        <f>IF('Perso Reloaded'!$L$22=A304,1,0)</f>
        <v>0</v>
      </c>
      <c r="O304">
        <f>IF('Perso Reloaded'!$L$23=A304,1,0)</f>
        <v>0</v>
      </c>
      <c r="P304">
        <f>IF('Perso Reloaded'!$L$24=A304,1,0)</f>
        <v>0</v>
      </c>
      <c r="Q304">
        <f>IF('Perso Reloaded'!$L$25=A304,1,0)</f>
        <v>0</v>
      </c>
      <c r="R304">
        <f>IF('Perso Reloaded'!$L$26=A304,1,0)</f>
        <v>0</v>
      </c>
      <c r="S304">
        <f>IF('Perso Reloaded'!$L$27=A304,1,0)</f>
        <v>0</v>
      </c>
      <c r="T304">
        <f t="shared" si="13"/>
        <v>0</v>
      </c>
      <c r="U304" t="b">
        <f t="shared" si="14"/>
        <v>0</v>
      </c>
    </row>
    <row r="305" spans="1:21" x14ac:dyDescent="0.3">
      <c r="A305" s="65" t="s">
        <v>3482</v>
      </c>
      <c r="B305">
        <f>IF(AtoutsHandicapsMatos!$C$5=A305,1,0)</f>
        <v>0</v>
      </c>
      <c r="C305">
        <f>IF(AtoutsHandicapsMatos!$C$6=A305,1,0)</f>
        <v>0</v>
      </c>
      <c r="D305">
        <f>IF(AtoutsHandicapsMatos!$C$7=A305,1,0)</f>
        <v>0</v>
      </c>
      <c r="E305">
        <f>IF(AtoutsHandicapsMatos!$C$8=A305,1,0)</f>
        <v>0</v>
      </c>
      <c r="F305">
        <f>IF(AtoutsHandicapsMatos!$C$9=A305,1,0)</f>
        <v>0</v>
      </c>
      <c r="G305">
        <f>IF(AtoutsHandicapsMatos!$C$10=A305,1,0)</f>
        <v>0</v>
      </c>
      <c r="H305">
        <f>IF(AtoutsHandicapsMatos!$C$11=A305,1,0)</f>
        <v>0</v>
      </c>
      <c r="I305">
        <f>IF(AtoutsHandicapsMatos!$C$12=A305,1,0)</f>
        <v>0</v>
      </c>
      <c r="J305">
        <f>IF(AtoutsHandicapsMatos!$C$13=A305,1,0)</f>
        <v>0</v>
      </c>
      <c r="K305">
        <f>IF(AtoutsHandicapsMatos!$C$14=A305,1,0)</f>
        <v>0</v>
      </c>
      <c r="L305">
        <f>IF('Perso Reloaded'!$L$20=A305,1,0)</f>
        <v>0</v>
      </c>
      <c r="M305">
        <f>IF('Perso Reloaded'!$L$21=A305,1,0)</f>
        <v>0</v>
      </c>
      <c r="N305">
        <f>IF('Perso Reloaded'!$L$22=A305,1,0)</f>
        <v>0</v>
      </c>
      <c r="O305">
        <f>IF('Perso Reloaded'!$L$23=A305,1,0)</f>
        <v>0</v>
      </c>
      <c r="P305">
        <f>IF('Perso Reloaded'!$L$24=A305,1,0)</f>
        <v>0</v>
      </c>
      <c r="Q305">
        <f>IF('Perso Reloaded'!$L$25=A305,1,0)</f>
        <v>0</v>
      </c>
      <c r="R305">
        <f>IF('Perso Reloaded'!$L$26=A305,1,0)</f>
        <v>0</v>
      </c>
      <c r="S305">
        <f>IF('Perso Reloaded'!$L$27=A305,1,0)</f>
        <v>0</v>
      </c>
      <c r="T305">
        <f t="shared" si="13"/>
        <v>0</v>
      </c>
      <c r="U305" t="b">
        <f t="shared" si="14"/>
        <v>0</v>
      </c>
    </row>
    <row r="306" spans="1:21" x14ac:dyDescent="0.3">
      <c r="A306" s="65" t="s">
        <v>3483</v>
      </c>
      <c r="B306">
        <f>IF(AtoutsHandicapsMatos!$C$5=A306,1,0)</f>
        <v>0</v>
      </c>
      <c r="C306">
        <f>IF(AtoutsHandicapsMatos!$C$6=A306,1,0)</f>
        <v>0</v>
      </c>
      <c r="D306">
        <f>IF(AtoutsHandicapsMatos!$C$7=A306,1,0)</f>
        <v>0</v>
      </c>
      <c r="E306">
        <f>IF(AtoutsHandicapsMatos!$C$8=A306,1,0)</f>
        <v>0</v>
      </c>
      <c r="F306">
        <f>IF(AtoutsHandicapsMatos!$C$9=A306,1,0)</f>
        <v>0</v>
      </c>
      <c r="G306">
        <f>IF(AtoutsHandicapsMatos!$C$10=A306,1,0)</f>
        <v>0</v>
      </c>
      <c r="H306">
        <f>IF(AtoutsHandicapsMatos!$C$11=A306,1,0)</f>
        <v>0</v>
      </c>
      <c r="I306">
        <f>IF(AtoutsHandicapsMatos!$C$12=A306,1,0)</f>
        <v>0</v>
      </c>
      <c r="J306">
        <f>IF(AtoutsHandicapsMatos!$C$13=A306,1,0)</f>
        <v>0</v>
      </c>
      <c r="K306">
        <f>IF(AtoutsHandicapsMatos!$C$14=A306,1,0)</f>
        <v>0</v>
      </c>
      <c r="L306">
        <f>IF('Perso Reloaded'!$L$20=A306,1,0)</f>
        <v>0</v>
      </c>
      <c r="M306">
        <f>IF('Perso Reloaded'!$L$21=A306,1,0)</f>
        <v>0</v>
      </c>
      <c r="N306">
        <f>IF('Perso Reloaded'!$L$22=A306,1,0)</f>
        <v>0</v>
      </c>
      <c r="O306">
        <f>IF('Perso Reloaded'!$L$23=A306,1,0)</f>
        <v>0</v>
      </c>
      <c r="P306">
        <f>IF('Perso Reloaded'!$L$24=A306,1,0)</f>
        <v>0</v>
      </c>
      <c r="Q306">
        <f>IF('Perso Reloaded'!$L$25=A306,1,0)</f>
        <v>0</v>
      </c>
      <c r="R306">
        <f>IF('Perso Reloaded'!$L$26=A306,1,0)</f>
        <v>0</v>
      </c>
      <c r="S306">
        <f>IF('Perso Reloaded'!$L$27=A306,1,0)</f>
        <v>0</v>
      </c>
      <c r="T306">
        <f t="shared" si="13"/>
        <v>0</v>
      </c>
      <c r="U306" t="b">
        <f t="shared" si="14"/>
        <v>0</v>
      </c>
    </row>
    <row r="307" spans="1:21" x14ac:dyDescent="0.3">
      <c r="A307" s="65" t="s">
        <v>3393</v>
      </c>
      <c r="B307">
        <f>IF(AtoutsHandicapsMatos!$C$5=A307,1,0)</f>
        <v>0</v>
      </c>
      <c r="C307">
        <f>IF(AtoutsHandicapsMatos!$C$6=A307,1,0)</f>
        <v>0</v>
      </c>
      <c r="D307">
        <f>IF(AtoutsHandicapsMatos!$C$7=A307,1,0)</f>
        <v>0</v>
      </c>
      <c r="E307">
        <f>IF(AtoutsHandicapsMatos!$C$8=A307,1,0)</f>
        <v>0</v>
      </c>
      <c r="F307">
        <f>IF(AtoutsHandicapsMatos!$C$9=A307,1,0)</f>
        <v>0</v>
      </c>
      <c r="G307">
        <f>IF(AtoutsHandicapsMatos!$C$10=A307,1,0)</f>
        <v>0</v>
      </c>
      <c r="H307">
        <f>IF(AtoutsHandicapsMatos!$C$11=A307,1,0)</f>
        <v>0</v>
      </c>
      <c r="I307">
        <f>IF(AtoutsHandicapsMatos!$C$12=A307,1,0)</f>
        <v>0</v>
      </c>
      <c r="J307">
        <f>IF(AtoutsHandicapsMatos!$C$13=A307,1,0)</f>
        <v>0</v>
      </c>
      <c r="K307">
        <f>IF(AtoutsHandicapsMatos!$C$14=A307,1,0)</f>
        <v>0</v>
      </c>
      <c r="L307">
        <f>IF('Perso Reloaded'!$L$20=A307,1,0)</f>
        <v>0</v>
      </c>
      <c r="M307">
        <f>IF('Perso Reloaded'!$L$21=A307,1,0)</f>
        <v>0</v>
      </c>
      <c r="N307">
        <f>IF('Perso Reloaded'!$L$22=A307,1,0)</f>
        <v>0</v>
      </c>
      <c r="O307">
        <f>IF('Perso Reloaded'!$L$23=A307,1,0)</f>
        <v>0</v>
      </c>
      <c r="P307">
        <f>IF('Perso Reloaded'!$L$24=A307,1,0)</f>
        <v>0</v>
      </c>
      <c r="Q307">
        <f>IF('Perso Reloaded'!$L$25=A307,1,0)</f>
        <v>0</v>
      </c>
      <c r="R307">
        <f>IF('Perso Reloaded'!$L$26=A307,1,0)</f>
        <v>0</v>
      </c>
      <c r="S307">
        <f>IF('Perso Reloaded'!$L$27=A307,1,0)</f>
        <v>0</v>
      </c>
      <c r="T307">
        <f t="shared" si="13"/>
        <v>0</v>
      </c>
      <c r="U307" t="b">
        <f t="shared" si="14"/>
        <v>0</v>
      </c>
    </row>
    <row r="308" spans="1:21" x14ac:dyDescent="0.3">
      <c r="A308" s="65" t="s">
        <v>5239</v>
      </c>
      <c r="B308">
        <f>IF(AtoutsHandicapsMatos!$C$5=A308,1,0)</f>
        <v>0</v>
      </c>
      <c r="C308">
        <f>IF(AtoutsHandicapsMatos!$C$6=A308,1,0)</f>
        <v>0</v>
      </c>
      <c r="D308">
        <f>IF(AtoutsHandicapsMatos!$C$7=A308,1,0)</f>
        <v>0</v>
      </c>
      <c r="E308">
        <f>IF(AtoutsHandicapsMatos!$C$8=A308,1,0)</f>
        <v>0</v>
      </c>
      <c r="F308">
        <f>IF(AtoutsHandicapsMatos!$C$9=A308,1,0)</f>
        <v>0</v>
      </c>
      <c r="G308">
        <f>IF(AtoutsHandicapsMatos!$C$10=A308,1,0)</f>
        <v>0</v>
      </c>
      <c r="H308">
        <f>IF(AtoutsHandicapsMatos!$C$11=A308,1,0)</f>
        <v>0</v>
      </c>
      <c r="I308">
        <f>IF(AtoutsHandicapsMatos!$C$12=A308,1,0)</f>
        <v>0</v>
      </c>
      <c r="J308">
        <f>IF(AtoutsHandicapsMatos!$C$13=A308,1,0)</f>
        <v>0</v>
      </c>
      <c r="K308">
        <f>IF(AtoutsHandicapsMatos!$C$14=A308,1,0)</f>
        <v>0</v>
      </c>
      <c r="L308">
        <f>IF('Perso Reloaded'!$L$20=A308,1,0)</f>
        <v>0</v>
      </c>
      <c r="M308">
        <f>IF('Perso Reloaded'!$L$21=A308,1,0)</f>
        <v>0</v>
      </c>
      <c r="N308">
        <f>IF('Perso Reloaded'!$L$22=A308,1,0)</f>
        <v>0</v>
      </c>
      <c r="O308">
        <f>IF('Perso Reloaded'!$L$23=A308,1,0)</f>
        <v>0</v>
      </c>
      <c r="P308">
        <f>IF('Perso Reloaded'!$L$24=A308,1,0)</f>
        <v>0</v>
      </c>
      <c r="Q308">
        <f>IF('Perso Reloaded'!$L$25=A308,1,0)</f>
        <v>0</v>
      </c>
      <c r="R308">
        <f>IF('Perso Reloaded'!$L$26=A308,1,0)</f>
        <v>0</v>
      </c>
      <c r="S308">
        <f>IF('Perso Reloaded'!$L$27=A308,1,0)</f>
        <v>0</v>
      </c>
      <c r="T308">
        <f t="shared" si="13"/>
        <v>0</v>
      </c>
      <c r="U308" t="b">
        <f t="shared" si="14"/>
        <v>0</v>
      </c>
    </row>
    <row r="309" spans="1:21" x14ac:dyDescent="0.3">
      <c r="A309" s="65" t="str">
        <f>IF(OR(SexePerso="Féminin",'Perso Reloaded'!$C$6="Féminin"),"Tacticienne","Tacticien")</f>
        <v>Tacticien</v>
      </c>
      <c r="B309">
        <f>IF(AtoutsHandicapsMatos!$C$5=A309,1,0)</f>
        <v>0</v>
      </c>
      <c r="C309">
        <f>IF(AtoutsHandicapsMatos!$C$6=A309,1,0)</f>
        <v>0</v>
      </c>
      <c r="D309">
        <f>IF(AtoutsHandicapsMatos!$C$7=A309,1,0)</f>
        <v>0</v>
      </c>
      <c r="E309">
        <f>IF(AtoutsHandicapsMatos!$C$8=A309,1,0)</f>
        <v>0</v>
      </c>
      <c r="F309">
        <f>IF(AtoutsHandicapsMatos!$C$9=A309,1,0)</f>
        <v>0</v>
      </c>
      <c r="G309">
        <f>IF(AtoutsHandicapsMatos!$C$10=A309,1,0)</f>
        <v>0</v>
      </c>
      <c r="H309">
        <f>IF(AtoutsHandicapsMatos!$C$11=A309,1,0)</f>
        <v>0</v>
      </c>
      <c r="I309">
        <f>IF(AtoutsHandicapsMatos!$C$12=A309,1,0)</f>
        <v>0</v>
      </c>
      <c r="J309">
        <f>IF(AtoutsHandicapsMatos!$C$13=A309,1,0)</f>
        <v>0</v>
      </c>
      <c r="K309">
        <f>IF(AtoutsHandicapsMatos!$C$14=A309,1,0)</f>
        <v>0</v>
      </c>
      <c r="L309">
        <f>IF('Perso Reloaded'!$L$20=A309,1,0)</f>
        <v>0</v>
      </c>
      <c r="M309">
        <f>IF('Perso Reloaded'!$L$21=A309,1,0)</f>
        <v>0</v>
      </c>
      <c r="N309">
        <f>IF('Perso Reloaded'!$L$22=A309,1,0)</f>
        <v>0</v>
      </c>
      <c r="O309">
        <f>IF('Perso Reloaded'!$L$23=A309,1,0)</f>
        <v>0</v>
      </c>
      <c r="P309">
        <f>IF('Perso Reloaded'!$L$24=A309,1,0)</f>
        <v>0</v>
      </c>
      <c r="Q309">
        <f>IF('Perso Reloaded'!$L$25=A309,1,0)</f>
        <v>0</v>
      </c>
      <c r="R309">
        <f>IF('Perso Reloaded'!$L$26=A309,1,0)</f>
        <v>0</v>
      </c>
      <c r="S309">
        <f>IF('Perso Reloaded'!$L$27=A309,1,0)</f>
        <v>0</v>
      </c>
      <c r="T309">
        <f t="shared" si="13"/>
        <v>0</v>
      </c>
      <c r="U309" t="b">
        <f t="shared" si="14"/>
        <v>0</v>
      </c>
    </row>
    <row r="310" spans="1:21" x14ac:dyDescent="0.3">
      <c r="A310" s="65" t="s">
        <v>5207</v>
      </c>
      <c r="B310">
        <f>IF(AtoutsHandicapsMatos!$C$5=A310,1,0)</f>
        <v>0</v>
      </c>
      <c r="C310">
        <f>IF(AtoutsHandicapsMatos!$C$6=A310,1,0)</f>
        <v>0</v>
      </c>
      <c r="D310">
        <f>IF(AtoutsHandicapsMatos!$C$7=A310,1,0)</f>
        <v>0</v>
      </c>
      <c r="E310">
        <f>IF(AtoutsHandicapsMatos!$C$8=A310,1,0)</f>
        <v>0</v>
      </c>
      <c r="F310">
        <f>IF(AtoutsHandicapsMatos!$C$9=A310,1,0)</f>
        <v>0</v>
      </c>
      <c r="G310">
        <f>IF(AtoutsHandicapsMatos!$C$10=A310,1,0)</f>
        <v>0</v>
      </c>
      <c r="H310">
        <f>IF(AtoutsHandicapsMatos!$C$11=A310,1,0)</f>
        <v>0</v>
      </c>
      <c r="I310">
        <f>IF(AtoutsHandicapsMatos!$C$12=A310,1,0)</f>
        <v>0</v>
      </c>
      <c r="J310">
        <f>IF(AtoutsHandicapsMatos!$C$13=A310,1,0)</f>
        <v>0</v>
      </c>
      <c r="K310">
        <f>IF(AtoutsHandicapsMatos!$C$14=A310,1,0)</f>
        <v>0</v>
      </c>
      <c r="L310">
        <f>IF('Perso Reloaded'!$L$20=A310,1,0)</f>
        <v>0</v>
      </c>
      <c r="M310">
        <f>IF('Perso Reloaded'!$L$21=A310,1,0)</f>
        <v>0</v>
      </c>
      <c r="N310">
        <f>IF('Perso Reloaded'!$L$22=A310,1,0)</f>
        <v>0</v>
      </c>
      <c r="O310">
        <f>IF('Perso Reloaded'!$L$23=A310,1,0)</f>
        <v>0</v>
      </c>
      <c r="P310">
        <f>IF('Perso Reloaded'!$L$24=A310,1,0)</f>
        <v>0</v>
      </c>
      <c r="Q310">
        <f>IF('Perso Reloaded'!$L$25=A310,1,0)</f>
        <v>0</v>
      </c>
      <c r="R310">
        <f>IF('Perso Reloaded'!$L$26=A310,1,0)</f>
        <v>0</v>
      </c>
      <c r="S310">
        <f>IF('Perso Reloaded'!$L$27=A310,1,0)</f>
        <v>0</v>
      </c>
      <c r="T310">
        <f t="shared" si="13"/>
        <v>0</v>
      </c>
      <c r="U310" t="b">
        <f t="shared" si="14"/>
        <v>0</v>
      </c>
    </row>
    <row r="311" spans="1:21" x14ac:dyDescent="0.3">
      <c r="A311" s="65" t="s">
        <v>292</v>
      </c>
      <c r="B311">
        <f>IF(AtoutsHandicapsMatos!$C$5=A311,1,0)</f>
        <v>0</v>
      </c>
      <c r="C311">
        <f>IF(AtoutsHandicapsMatos!$C$6=A311,1,0)</f>
        <v>0</v>
      </c>
      <c r="D311">
        <f>IF(AtoutsHandicapsMatos!$C$7=A311,1,0)</f>
        <v>0</v>
      </c>
      <c r="E311">
        <f>IF(AtoutsHandicapsMatos!$C$8=A311,1,0)</f>
        <v>0</v>
      </c>
      <c r="F311">
        <f>IF(AtoutsHandicapsMatos!$C$9=A311,1,0)</f>
        <v>0</v>
      </c>
      <c r="G311">
        <f>IF(AtoutsHandicapsMatos!$C$10=A311,1,0)</f>
        <v>0</v>
      </c>
      <c r="H311">
        <f>IF(AtoutsHandicapsMatos!$C$11=A311,1,0)</f>
        <v>0</v>
      </c>
      <c r="I311">
        <f>IF(AtoutsHandicapsMatos!$C$12=A311,1,0)</f>
        <v>0</v>
      </c>
      <c r="J311">
        <f>IF(AtoutsHandicapsMatos!$C$13=A311,1,0)</f>
        <v>0</v>
      </c>
      <c r="K311">
        <f>IF(AtoutsHandicapsMatos!$C$14=A311,1,0)</f>
        <v>0</v>
      </c>
      <c r="L311">
        <f>IF('Perso Reloaded'!$L$20=A311,1,0)</f>
        <v>0</v>
      </c>
      <c r="M311">
        <f>IF('Perso Reloaded'!$L$21=A311,1,0)</f>
        <v>0</v>
      </c>
      <c r="N311">
        <f>IF('Perso Reloaded'!$L$22=A311,1,0)</f>
        <v>0</v>
      </c>
      <c r="O311">
        <f>IF('Perso Reloaded'!$L$23=A311,1,0)</f>
        <v>0</v>
      </c>
      <c r="P311">
        <f>IF('Perso Reloaded'!$L$24=A311,1,0)</f>
        <v>0</v>
      </c>
      <c r="Q311">
        <f>IF('Perso Reloaded'!$L$25=A311,1,0)</f>
        <v>0</v>
      </c>
      <c r="R311">
        <f>IF('Perso Reloaded'!$L$26=A311,1,0)</f>
        <v>0</v>
      </c>
      <c r="S311">
        <f>IF('Perso Reloaded'!$L$27=A311,1,0)</f>
        <v>0</v>
      </c>
      <c r="T311">
        <f t="shared" si="13"/>
        <v>0</v>
      </c>
      <c r="U311" t="b">
        <f t="shared" si="14"/>
        <v>0</v>
      </c>
    </row>
    <row r="312" spans="1:21" x14ac:dyDescent="0.3">
      <c r="A312" s="65" t="str">
        <f>IF(OR(SexePerso="Féminin",'Perso Reloaded'!$C$6="Féminin"),"Tireuse d'Elite","Tireur d'Elite")</f>
        <v>Tireur d'Elite</v>
      </c>
      <c r="B312">
        <f>IF(AtoutsHandicapsMatos!$C$5=A312,1,0)</f>
        <v>0</v>
      </c>
      <c r="C312">
        <f>IF(AtoutsHandicapsMatos!$C$6=A312,1,0)</f>
        <v>0</v>
      </c>
      <c r="D312">
        <f>IF(AtoutsHandicapsMatos!$C$7=A312,1,0)</f>
        <v>0</v>
      </c>
      <c r="E312">
        <f>IF(AtoutsHandicapsMatos!$C$8=A312,1,0)</f>
        <v>0</v>
      </c>
      <c r="F312">
        <f>IF(AtoutsHandicapsMatos!$C$9=A312,1,0)</f>
        <v>0</v>
      </c>
      <c r="G312">
        <f>IF(AtoutsHandicapsMatos!$C$10=A312,1,0)</f>
        <v>0</v>
      </c>
      <c r="H312">
        <f>IF(AtoutsHandicapsMatos!$C$11=A312,1,0)</f>
        <v>0</v>
      </c>
      <c r="I312">
        <f>IF(AtoutsHandicapsMatos!$C$12=A312,1,0)</f>
        <v>0</v>
      </c>
      <c r="J312">
        <f>IF(AtoutsHandicapsMatos!$C$13=A312,1,0)</f>
        <v>0</v>
      </c>
      <c r="K312">
        <f>IF(AtoutsHandicapsMatos!$C$14=A312,1,0)</f>
        <v>0</v>
      </c>
      <c r="L312">
        <f>IF('Perso Reloaded'!$L$20=A312,1,0)</f>
        <v>0</v>
      </c>
      <c r="M312">
        <f>IF('Perso Reloaded'!$L$21=A312,1,0)</f>
        <v>0</v>
      </c>
      <c r="N312">
        <f>IF('Perso Reloaded'!$L$22=A312,1,0)</f>
        <v>0</v>
      </c>
      <c r="O312">
        <f>IF('Perso Reloaded'!$L$23=A312,1,0)</f>
        <v>0</v>
      </c>
      <c r="P312">
        <f>IF('Perso Reloaded'!$L$24=A312,1,0)</f>
        <v>0</v>
      </c>
      <c r="Q312">
        <f>IF('Perso Reloaded'!$L$25=A312,1,0)</f>
        <v>0</v>
      </c>
      <c r="R312">
        <f>IF('Perso Reloaded'!$L$26=A312,1,0)</f>
        <v>0</v>
      </c>
      <c r="S312">
        <f>IF('Perso Reloaded'!$L$27=A312,1,0)</f>
        <v>0</v>
      </c>
      <c r="T312">
        <f t="shared" si="13"/>
        <v>0</v>
      </c>
      <c r="U312" t="b">
        <f t="shared" si="14"/>
        <v>0</v>
      </c>
    </row>
    <row r="313" spans="1:21" x14ac:dyDescent="0.3">
      <c r="A313" s="65" t="s">
        <v>4212</v>
      </c>
      <c r="B313">
        <f>IF(AtoutsHandicapsMatos!$C$5=A313,1,0)</f>
        <v>0</v>
      </c>
      <c r="C313">
        <f>IF(AtoutsHandicapsMatos!$C$6=A313,1,0)</f>
        <v>0</v>
      </c>
      <c r="D313">
        <f>IF(AtoutsHandicapsMatos!$C$7=A313,1,0)</f>
        <v>0</v>
      </c>
      <c r="E313">
        <f>IF(AtoutsHandicapsMatos!$C$8=A313,1,0)</f>
        <v>0</v>
      </c>
      <c r="F313">
        <f>IF(AtoutsHandicapsMatos!$C$9=A313,1,0)</f>
        <v>0</v>
      </c>
      <c r="G313">
        <f>IF(AtoutsHandicapsMatos!$C$10=A313,1,0)</f>
        <v>0</v>
      </c>
      <c r="H313">
        <f>IF(AtoutsHandicapsMatos!$C$11=A313,1,0)</f>
        <v>0</v>
      </c>
      <c r="I313">
        <f>IF(AtoutsHandicapsMatos!$C$12=A313,1,0)</f>
        <v>0</v>
      </c>
      <c r="J313">
        <f>IF(AtoutsHandicapsMatos!$C$13=A313,1,0)</f>
        <v>0</v>
      </c>
      <c r="K313">
        <f>IF(AtoutsHandicapsMatos!$C$14=A313,1,0)</f>
        <v>0</v>
      </c>
      <c r="L313">
        <f>IF('Perso Reloaded'!$L$20=A313,1,0)</f>
        <v>0</v>
      </c>
      <c r="M313">
        <f>IF('Perso Reloaded'!$L$21=A313,1,0)</f>
        <v>0</v>
      </c>
      <c r="N313">
        <f>IF('Perso Reloaded'!$L$22=A313,1,0)</f>
        <v>0</v>
      </c>
      <c r="O313">
        <f>IF('Perso Reloaded'!$L$23=A313,1,0)</f>
        <v>0</v>
      </c>
      <c r="P313">
        <f>IF('Perso Reloaded'!$L$24=A313,1,0)</f>
        <v>0</v>
      </c>
      <c r="Q313">
        <f>IF('Perso Reloaded'!$L$25=A313,1,0)</f>
        <v>0</v>
      </c>
      <c r="R313">
        <f>IF('Perso Reloaded'!$L$26=A313,1,0)</f>
        <v>0</v>
      </c>
      <c r="S313">
        <f>IF('Perso Reloaded'!$L$27=A313,1,0)</f>
        <v>0</v>
      </c>
      <c r="T313">
        <f t="shared" si="13"/>
        <v>0</v>
      </c>
      <c r="U313" t="b">
        <f t="shared" si="14"/>
        <v>0</v>
      </c>
    </row>
    <row r="314" spans="1:21" x14ac:dyDescent="0.3">
      <c r="A314" s="65" t="s">
        <v>5169</v>
      </c>
      <c r="B314">
        <f>IF(AtoutsHandicapsMatos!$C$5=A314,1,0)</f>
        <v>0</v>
      </c>
      <c r="C314">
        <f>IF(AtoutsHandicapsMatos!$C$6=A314,1,0)</f>
        <v>0</v>
      </c>
      <c r="D314">
        <f>IF(AtoutsHandicapsMatos!$C$7=A314,1,0)</f>
        <v>0</v>
      </c>
      <c r="E314">
        <f>IF(AtoutsHandicapsMatos!$C$8=A314,1,0)</f>
        <v>0</v>
      </c>
      <c r="F314">
        <f>IF(AtoutsHandicapsMatos!$C$9=A314,1,0)</f>
        <v>0</v>
      </c>
      <c r="G314">
        <f>IF(AtoutsHandicapsMatos!$C$10=A314,1,0)</f>
        <v>0</v>
      </c>
      <c r="H314">
        <f>IF(AtoutsHandicapsMatos!$C$11=A314,1,0)</f>
        <v>0</v>
      </c>
      <c r="I314">
        <f>IF(AtoutsHandicapsMatos!$C$12=A314,1,0)</f>
        <v>0</v>
      </c>
      <c r="J314">
        <f>IF(AtoutsHandicapsMatos!$C$13=A314,1,0)</f>
        <v>0</v>
      </c>
      <c r="K314">
        <f>IF(AtoutsHandicapsMatos!$C$14=A314,1,0)</f>
        <v>0</v>
      </c>
      <c r="L314">
        <f>IF('Perso Reloaded'!$L$20=A314,1,0)</f>
        <v>0</v>
      </c>
      <c r="M314">
        <f>IF('Perso Reloaded'!$L$21=A314,1,0)</f>
        <v>0</v>
      </c>
      <c r="N314">
        <f>IF('Perso Reloaded'!$L$22=A314,1,0)</f>
        <v>0</v>
      </c>
      <c r="O314">
        <f>IF('Perso Reloaded'!$L$23=A314,1,0)</f>
        <v>0</v>
      </c>
      <c r="P314">
        <f>IF('Perso Reloaded'!$L$24=A314,1,0)</f>
        <v>0</v>
      </c>
      <c r="Q314">
        <f>IF('Perso Reloaded'!$L$25=A314,1,0)</f>
        <v>0</v>
      </c>
      <c r="R314">
        <f>IF('Perso Reloaded'!$L$26=A314,1,0)</f>
        <v>0</v>
      </c>
      <c r="S314">
        <f>IF('Perso Reloaded'!$L$27=A314,1,0)</f>
        <v>0</v>
      </c>
      <c r="T314">
        <f t="shared" si="13"/>
        <v>0</v>
      </c>
      <c r="U314" t="b">
        <f t="shared" si="14"/>
        <v>0</v>
      </c>
    </row>
    <row r="315" spans="1:21" x14ac:dyDescent="0.3">
      <c r="A315" s="65" t="s">
        <v>3283</v>
      </c>
      <c r="B315">
        <f>IF(AtoutsHandicapsMatos!$C$5=A315,1,0)</f>
        <v>0</v>
      </c>
      <c r="C315">
        <f>IF(AtoutsHandicapsMatos!$C$6=A315,1,0)</f>
        <v>0</v>
      </c>
      <c r="D315">
        <f>IF(AtoutsHandicapsMatos!$C$7=A315,1,0)</f>
        <v>0</v>
      </c>
      <c r="E315">
        <f>IF(AtoutsHandicapsMatos!$C$8=A315,1,0)</f>
        <v>0</v>
      </c>
      <c r="F315">
        <f>IF(AtoutsHandicapsMatos!$C$9=A315,1,0)</f>
        <v>0</v>
      </c>
      <c r="G315">
        <f>IF(AtoutsHandicapsMatos!$C$10=A315,1,0)</f>
        <v>0</v>
      </c>
      <c r="H315">
        <f>IF(AtoutsHandicapsMatos!$C$11=A315,1,0)</f>
        <v>0</v>
      </c>
      <c r="I315">
        <f>IF(AtoutsHandicapsMatos!$C$12=A315,1,0)</f>
        <v>0</v>
      </c>
      <c r="J315">
        <f>IF(AtoutsHandicapsMatos!$C$13=A315,1,0)</f>
        <v>0</v>
      </c>
      <c r="K315">
        <f>IF(AtoutsHandicapsMatos!$C$14=A315,1,0)</f>
        <v>0</v>
      </c>
      <c r="L315">
        <f>IF('Perso Reloaded'!$L$20=A315,1,0)</f>
        <v>0</v>
      </c>
      <c r="M315">
        <f>IF('Perso Reloaded'!$L$21=A315,1,0)</f>
        <v>0</v>
      </c>
      <c r="N315">
        <f>IF('Perso Reloaded'!$L$22=A315,1,0)</f>
        <v>0</v>
      </c>
      <c r="O315">
        <f>IF('Perso Reloaded'!$L$23=A315,1,0)</f>
        <v>0</v>
      </c>
      <c r="P315">
        <f>IF('Perso Reloaded'!$L$24=A315,1,0)</f>
        <v>0</v>
      </c>
      <c r="Q315">
        <f>IF('Perso Reloaded'!$L$25=A315,1,0)</f>
        <v>0</v>
      </c>
      <c r="R315">
        <f>IF('Perso Reloaded'!$L$26=A315,1,0)</f>
        <v>0</v>
      </c>
      <c r="S315">
        <f>IF('Perso Reloaded'!$L$27=A315,1,0)</f>
        <v>0</v>
      </c>
      <c r="T315">
        <f t="shared" si="13"/>
        <v>0</v>
      </c>
      <c r="U315" t="b">
        <f t="shared" si="14"/>
        <v>0</v>
      </c>
    </row>
    <row r="316" spans="1:21" x14ac:dyDescent="0.3">
      <c r="A316" s="65" t="s">
        <v>3643</v>
      </c>
      <c r="B316">
        <f>IF(AtoutsHandicapsMatos!$C$5=A316,1,0)</f>
        <v>0</v>
      </c>
      <c r="C316">
        <f>IF(AtoutsHandicapsMatos!$C$6=A316,1,0)</f>
        <v>0</v>
      </c>
      <c r="D316">
        <f>IF(AtoutsHandicapsMatos!$C$7=A316,1,0)</f>
        <v>0</v>
      </c>
      <c r="E316">
        <f>IF(AtoutsHandicapsMatos!$C$8=A316,1,0)</f>
        <v>0</v>
      </c>
      <c r="F316">
        <f>IF(AtoutsHandicapsMatos!$C$9=A316,1,0)</f>
        <v>0</v>
      </c>
      <c r="G316">
        <f>IF(AtoutsHandicapsMatos!$C$10=A316,1,0)</f>
        <v>0</v>
      </c>
      <c r="H316">
        <f>IF(AtoutsHandicapsMatos!$C$11=A316,1,0)</f>
        <v>0</v>
      </c>
      <c r="I316">
        <f>IF(AtoutsHandicapsMatos!$C$12=A316,1,0)</f>
        <v>0</v>
      </c>
      <c r="J316">
        <f>IF(AtoutsHandicapsMatos!$C$13=A316,1,0)</f>
        <v>0</v>
      </c>
      <c r="K316">
        <f>IF(AtoutsHandicapsMatos!$C$14=A316,1,0)</f>
        <v>0</v>
      </c>
      <c r="L316">
        <f>IF('Perso Reloaded'!$L$20=A316,1,0)</f>
        <v>0</v>
      </c>
      <c r="M316">
        <f>IF('Perso Reloaded'!$L$21=A316,1,0)</f>
        <v>0</v>
      </c>
      <c r="N316">
        <f>IF('Perso Reloaded'!$L$22=A316,1,0)</f>
        <v>0</v>
      </c>
      <c r="O316">
        <f>IF('Perso Reloaded'!$L$23=A316,1,0)</f>
        <v>0</v>
      </c>
      <c r="P316">
        <f>IF('Perso Reloaded'!$L$24=A316,1,0)</f>
        <v>0</v>
      </c>
      <c r="Q316">
        <f>IF('Perso Reloaded'!$L$25=A316,1,0)</f>
        <v>0</v>
      </c>
      <c r="R316">
        <f>IF('Perso Reloaded'!$L$26=A316,1,0)</f>
        <v>0</v>
      </c>
      <c r="S316">
        <f>IF('Perso Reloaded'!$L$27=A316,1,0)</f>
        <v>0</v>
      </c>
      <c r="T316">
        <f t="shared" si="13"/>
        <v>0</v>
      </c>
      <c r="U316" t="b">
        <f t="shared" si="14"/>
        <v>0</v>
      </c>
    </row>
    <row r="317" spans="1:21" x14ac:dyDescent="0.3">
      <c r="A317" s="65" t="str">
        <f>IF(OR(SexePerso="Féminin",'Perso Reloaded'!$C$6="Féminin"),"Tueuse de Géant","Tueur de Géant")</f>
        <v>Tueur de Géant</v>
      </c>
      <c r="B317">
        <f>IF(AtoutsHandicapsMatos!$C$5=A317,1,0)</f>
        <v>0</v>
      </c>
      <c r="C317">
        <f>IF(AtoutsHandicapsMatos!$C$6=A317,1,0)</f>
        <v>0</v>
      </c>
      <c r="D317">
        <f>IF(AtoutsHandicapsMatos!$C$7=A317,1,0)</f>
        <v>0</v>
      </c>
      <c r="E317">
        <f>IF(AtoutsHandicapsMatos!$C$8=A317,1,0)</f>
        <v>0</v>
      </c>
      <c r="F317">
        <f>IF(AtoutsHandicapsMatos!$C$9=A317,1,0)</f>
        <v>0</v>
      </c>
      <c r="G317">
        <f>IF(AtoutsHandicapsMatos!$C$10=A317,1,0)</f>
        <v>0</v>
      </c>
      <c r="H317">
        <f>IF(AtoutsHandicapsMatos!$C$11=A317,1,0)</f>
        <v>0</v>
      </c>
      <c r="I317">
        <f>IF(AtoutsHandicapsMatos!$C$12=A317,1,0)</f>
        <v>0</v>
      </c>
      <c r="J317">
        <f>IF(AtoutsHandicapsMatos!$C$13=A317,1,0)</f>
        <v>0</v>
      </c>
      <c r="K317">
        <f>IF(AtoutsHandicapsMatos!$C$14=A317,1,0)</f>
        <v>0</v>
      </c>
      <c r="L317">
        <f>IF('Perso Reloaded'!$L$20=A317,1,0)</f>
        <v>0</v>
      </c>
      <c r="M317">
        <f>IF('Perso Reloaded'!$L$21=A317,1,0)</f>
        <v>0</v>
      </c>
      <c r="N317">
        <f>IF('Perso Reloaded'!$L$22=A317,1,0)</f>
        <v>0</v>
      </c>
      <c r="O317">
        <f>IF('Perso Reloaded'!$L$23=A317,1,0)</f>
        <v>0</v>
      </c>
      <c r="P317">
        <f>IF('Perso Reloaded'!$L$24=A317,1,0)</f>
        <v>0</v>
      </c>
      <c r="Q317">
        <f>IF('Perso Reloaded'!$L$25=A317,1,0)</f>
        <v>0</v>
      </c>
      <c r="R317">
        <f>IF('Perso Reloaded'!$L$26=A317,1,0)</f>
        <v>0</v>
      </c>
      <c r="S317">
        <f>IF('Perso Reloaded'!$L$27=A317,1,0)</f>
        <v>0</v>
      </c>
      <c r="T317">
        <f t="shared" si="13"/>
        <v>0</v>
      </c>
      <c r="U317" t="b">
        <f t="shared" si="14"/>
        <v>0</v>
      </c>
    </row>
    <row r="318" spans="1:21" x14ac:dyDescent="0.3">
      <c r="A318" s="65" t="s">
        <v>5128</v>
      </c>
      <c r="B318">
        <f>IF(AtoutsHandicapsMatos!$C$5=A318,1,0)</f>
        <v>0</v>
      </c>
      <c r="C318">
        <f>IF(AtoutsHandicapsMatos!$C$6=A318,1,0)</f>
        <v>0</v>
      </c>
      <c r="D318">
        <f>IF(AtoutsHandicapsMatos!$C$7=A318,1,0)</f>
        <v>0</v>
      </c>
      <c r="E318">
        <f>IF(AtoutsHandicapsMatos!$C$8=A318,1,0)</f>
        <v>0</v>
      </c>
      <c r="F318">
        <f>IF(AtoutsHandicapsMatos!$C$9=A318,1,0)</f>
        <v>0</v>
      </c>
      <c r="G318">
        <f>IF(AtoutsHandicapsMatos!$C$10=A318,1,0)</f>
        <v>0</v>
      </c>
      <c r="H318">
        <f>IF(AtoutsHandicapsMatos!$C$11=A318,1,0)</f>
        <v>0</v>
      </c>
      <c r="I318">
        <f>IF(AtoutsHandicapsMatos!$C$12=A318,1,0)</f>
        <v>0</v>
      </c>
      <c r="J318">
        <f>IF(AtoutsHandicapsMatos!$C$13=A318,1,0)</f>
        <v>0</v>
      </c>
      <c r="K318">
        <f>IF(AtoutsHandicapsMatos!$C$14=A318,1,0)</f>
        <v>0</v>
      </c>
      <c r="L318">
        <f>IF('Perso Reloaded'!$L$20=A318,1,0)</f>
        <v>0</v>
      </c>
      <c r="M318">
        <f>IF('Perso Reloaded'!$L$21=A318,1,0)</f>
        <v>0</v>
      </c>
      <c r="N318">
        <f>IF('Perso Reloaded'!$L$22=A318,1,0)</f>
        <v>0</v>
      </c>
      <c r="O318">
        <f>IF('Perso Reloaded'!$L$23=A318,1,0)</f>
        <v>0</v>
      </c>
      <c r="P318">
        <f>IF('Perso Reloaded'!$L$24=A318,1,0)</f>
        <v>0</v>
      </c>
      <c r="Q318">
        <f>IF('Perso Reloaded'!$L$25=A318,1,0)</f>
        <v>0</v>
      </c>
      <c r="R318">
        <f>IF('Perso Reloaded'!$L$26=A318,1,0)</f>
        <v>0</v>
      </c>
      <c r="S318">
        <f>IF('Perso Reloaded'!$L$27=A318,1,0)</f>
        <v>0</v>
      </c>
      <c r="T318">
        <f t="shared" si="13"/>
        <v>0</v>
      </c>
      <c r="U318" t="b">
        <f t="shared" si="14"/>
        <v>0</v>
      </c>
    </row>
    <row r="319" spans="1:21" x14ac:dyDescent="0.3">
      <c r="A319" s="65" t="str">
        <f>IF(OR(SexePerso="Féminin",'Perso Reloaded'!$C$6="Féminin"),"Veinarde/Chanceuse","Veinard/Chanceux")</f>
        <v>Veinard/Chanceux</v>
      </c>
      <c r="B319">
        <f>IF(AtoutsHandicapsMatos!$C$5=A319,1,0)</f>
        <v>0</v>
      </c>
      <c r="C319">
        <f>IF(AtoutsHandicapsMatos!$C$6=A319,1,0)</f>
        <v>0</v>
      </c>
      <c r="D319">
        <f>IF(AtoutsHandicapsMatos!$C$7=A319,1,0)</f>
        <v>0</v>
      </c>
      <c r="E319">
        <f>IF(AtoutsHandicapsMatos!$C$8=A319,1,0)</f>
        <v>0</v>
      </c>
      <c r="F319">
        <f>IF(AtoutsHandicapsMatos!$C$9=A319,1,0)</f>
        <v>0</v>
      </c>
      <c r="G319">
        <f>IF(AtoutsHandicapsMatos!$C$10=A319,1,0)</f>
        <v>0</v>
      </c>
      <c r="H319">
        <f>IF(AtoutsHandicapsMatos!$C$11=A319,1,0)</f>
        <v>0</v>
      </c>
      <c r="I319">
        <f>IF(AtoutsHandicapsMatos!$C$12=A319,1,0)</f>
        <v>0</v>
      </c>
      <c r="J319">
        <f>IF(AtoutsHandicapsMatos!$C$13=A319,1,0)</f>
        <v>0</v>
      </c>
      <c r="K319">
        <f>IF(AtoutsHandicapsMatos!$C$14=A319,1,0)</f>
        <v>0</v>
      </c>
      <c r="L319">
        <f>IF('Perso Reloaded'!$L$20=A319,1,0)</f>
        <v>0</v>
      </c>
      <c r="M319">
        <f>IF('Perso Reloaded'!$L$21=A319,1,0)</f>
        <v>0</v>
      </c>
      <c r="N319">
        <f>IF('Perso Reloaded'!$L$22=A319,1,0)</f>
        <v>0</v>
      </c>
      <c r="O319">
        <f>IF('Perso Reloaded'!$L$23=A319,1,0)</f>
        <v>0</v>
      </c>
      <c r="P319">
        <f>IF('Perso Reloaded'!$L$24=A319,1,0)</f>
        <v>0</v>
      </c>
      <c r="Q319">
        <f>IF('Perso Reloaded'!$L$25=A319,1,0)</f>
        <v>0</v>
      </c>
      <c r="R319">
        <f>IF('Perso Reloaded'!$L$26=A319,1,0)</f>
        <v>0</v>
      </c>
      <c r="S319">
        <f>IF('Perso Reloaded'!$L$27=A319,1,0)</f>
        <v>0</v>
      </c>
      <c r="T319">
        <f t="shared" si="13"/>
        <v>0</v>
      </c>
      <c r="U319" t="b">
        <f t="shared" si="14"/>
        <v>0</v>
      </c>
    </row>
    <row r="320" spans="1:21" x14ac:dyDescent="0.3">
      <c r="A320" s="65" t="str">
        <f>IF(OR(SexePerso="Féminin",'Perso Reloaded'!$C$6="Féminin"),"Veinarde/Chanceuse (très)","Veinard/Chanceux (très)")</f>
        <v>Veinard/Chanceux (très)</v>
      </c>
      <c r="B320">
        <f>IF(AtoutsHandicapsMatos!$C$5=A320,1,0)</f>
        <v>0</v>
      </c>
      <c r="C320">
        <f>IF(AtoutsHandicapsMatos!$C$6=A320,1,0)</f>
        <v>0</v>
      </c>
      <c r="D320">
        <f>IF(AtoutsHandicapsMatos!$C$7=A320,1,0)</f>
        <v>0</v>
      </c>
      <c r="E320">
        <f>IF(AtoutsHandicapsMatos!$C$8=A320,1,0)</f>
        <v>0</v>
      </c>
      <c r="F320">
        <f>IF(AtoutsHandicapsMatos!$C$9=A320,1,0)</f>
        <v>0</v>
      </c>
      <c r="G320">
        <f>IF(AtoutsHandicapsMatos!$C$10=A320,1,0)</f>
        <v>0</v>
      </c>
      <c r="H320">
        <f>IF(AtoutsHandicapsMatos!$C$11=A320,1,0)</f>
        <v>0</v>
      </c>
      <c r="I320">
        <f>IF(AtoutsHandicapsMatos!$C$12=A320,1,0)</f>
        <v>0</v>
      </c>
      <c r="J320">
        <f>IF(AtoutsHandicapsMatos!$C$13=A320,1,0)</f>
        <v>0</v>
      </c>
      <c r="K320">
        <f>IF(AtoutsHandicapsMatos!$C$14=A320,1,0)</f>
        <v>0</v>
      </c>
      <c r="L320">
        <f>IF('Perso Reloaded'!$L$20=A320,1,0)</f>
        <v>0</v>
      </c>
      <c r="M320">
        <f>IF('Perso Reloaded'!$L$21=A320,1,0)</f>
        <v>0</v>
      </c>
      <c r="N320">
        <f>IF('Perso Reloaded'!$L$22=A320,1,0)</f>
        <v>0</v>
      </c>
      <c r="O320">
        <f>IF('Perso Reloaded'!$L$23=A320,1,0)</f>
        <v>0</v>
      </c>
      <c r="P320">
        <f>IF('Perso Reloaded'!$L$24=A320,1,0)</f>
        <v>0</v>
      </c>
      <c r="Q320">
        <f>IF('Perso Reloaded'!$L$25=A320,1,0)</f>
        <v>0</v>
      </c>
      <c r="R320">
        <f>IF('Perso Reloaded'!$L$26=A320,1,0)</f>
        <v>0</v>
      </c>
      <c r="S320">
        <f>IF('Perso Reloaded'!$L$27=A320,1,0)</f>
        <v>0</v>
      </c>
      <c r="T320">
        <f t="shared" si="13"/>
        <v>0</v>
      </c>
      <c r="U320" t="b">
        <f t="shared" si="14"/>
        <v>0</v>
      </c>
    </row>
    <row r="321" spans="1:21" x14ac:dyDescent="0.3">
      <c r="A321" s="65" t="s">
        <v>5080</v>
      </c>
      <c r="B321">
        <f>IF(AtoutsHandicapsMatos!$C$5=A321,1,0)</f>
        <v>0</v>
      </c>
      <c r="C321">
        <f>IF(AtoutsHandicapsMatos!$C$6=A321,1,0)</f>
        <v>0</v>
      </c>
      <c r="D321">
        <f>IF(AtoutsHandicapsMatos!$C$7=A321,1,0)</f>
        <v>0</v>
      </c>
      <c r="E321">
        <f>IF(AtoutsHandicapsMatos!$C$8=A321,1,0)</f>
        <v>0</v>
      </c>
      <c r="F321">
        <f>IF(AtoutsHandicapsMatos!$C$9=A321,1,0)</f>
        <v>0</v>
      </c>
      <c r="G321">
        <f>IF(AtoutsHandicapsMatos!$C$10=A321,1,0)</f>
        <v>0</v>
      </c>
      <c r="H321">
        <f>IF(AtoutsHandicapsMatos!$C$11=A321,1,0)</f>
        <v>0</v>
      </c>
      <c r="I321">
        <f>IF(AtoutsHandicapsMatos!$C$12=A321,1,0)</f>
        <v>0</v>
      </c>
      <c r="J321">
        <f>IF(AtoutsHandicapsMatos!$C$13=A321,1,0)</f>
        <v>0</v>
      </c>
      <c r="K321">
        <f>IF(AtoutsHandicapsMatos!$C$14=A321,1,0)</f>
        <v>0</v>
      </c>
      <c r="L321">
        <f>IF('Perso Reloaded'!$L$20=A321,1,0)</f>
        <v>0</v>
      </c>
      <c r="M321">
        <f>IF('Perso Reloaded'!$L$21=A321,1,0)</f>
        <v>0</v>
      </c>
      <c r="N321">
        <f>IF('Perso Reloaded'!$L$22=A321,1,0)</f>
        <v>0</v>
      </c>
      <c r="O321">
        <f>IF('Perso Reloaded'!$L$23=A321,1,0)</f>
        <v>0</v>
      </c>
      <c r="P321">
        <f>IF('Perso Reloaded'!$L$24=A321,1,0)</f>
        <v>0</v>
      </c>
      <c r="Q321">
        <f>IF('Perso Reloaded'!$L$25=A321,1,0)</f>
        <v>0</v>
      </c>
      <c r="R321">
        <f>IF('Perso Reloaded'!$L$26=A321,1,0)</f>
        <v>0</v>
      </c>
      <c r="S321">
        <f>IF('Perso Reloaded'!$L$27=A321,1,0)</f>
        <v>0</v>
      </c>
      <c r="T321">
        <f t="shared" si="13"/>
        <v>0</v>
      </c>
      <c r="U321" t="b">
        <f t="shared" si="14"/>
        <v>0</v>
      </c>
    </row>
    <row r="322" spans="1:21" x14ac:dyDescent="0.3">
      <c r="A322" s="65" t="s">
        <v>5079</v>
      </c>
      <c r="B322">
        <f>IF(AtoutsHandicapsMatos!$C$5=A322,1,0)</f>
        <v>0</v>
      </c>
      <c r="C322">
        <f>IF(AtoutsHandicapsMatos!$C$6=A322,1,0)</f>
        <v>0</v>
      </c>
      <c r="D322">
        <f>IF(AtoutsHandicapsMatos!$C$7=A322,1,0)</f>
        <v>0</v>
      </c>
      <c r="E322">
        <f>IF(AtoutsHandicapsMatos!$C$8=A322,1,0)</f>
        <v>0</v>
      </c>
      <c r="F322">
        <f>IF(AtoutsHandicapsMatos!$C$9=A322,1,0)</f>
        <v>0</v>
      </c>
      <c r="G322">
        <f>IF(AtoutsHandicapsMatos!$C$10=A322,1,0)</f>
        <v>0</v>
      </c>
      <c r="H322">
        <f>IF(AtoutsHandicapsMatos!$C$11=A322,1,0)</f>
        <v>0</v>
      </c>
      <c r="I322">
        <f>IF(AtoutsHandicapsMatos!$C$12=A322,1,0)</f>
        <v>0</v>
      </c>
      <c r="J322">
        <f>IF(AtoutsHandicapsMatos!$C$13=A322,1,0)</f>
        <v>0</v>
      </c>
      <c r="K322">
        <f>IF(AtoutsHandicapsMatos!$C$14=A322,1,0)</f>
        <v>0</v>
      </c>
      <c r="L322">
        <f>IF('Perso Reloaded'!$L$20=A322,1,0)</f>
        <v>0</v>
      </c>
      <c r="M322">
        <f>IF('Perso Reloaded'!$L$21=A322,1,0)</f>
        <v>0</v>
      </c>
      <c r="N322">
        <f>IF('Perso Reloaded'!$L$22=A322,1,0)</f>
        <v>0</v>
      </c>
      <c r="O322">
        <f>IF('Perso Reloaded'!$L$23=A322,1,0)</f>
        <v>0</v>
      </c>
      <c r="P322">
        <f>IF('Perso Reloaded'!$L$24=A322,1,0)</f>
        <v>0</v>
      </c>
      <c r="Q322">
        <f>IF('Perso Reloaded'!$L$25=A322,1,0)</f>
        <v>0</v>
      </c>
      <c r="R322">
        <f>IF('Perso Reloaded'!$L$26=A322,1,0)</f>
        <v>0</v>
      </c>
      <c r="S322">
        <f>IF('Perso Reloaded'!$L$27=A322,1,0)</f>
        <v>0</v>
      </c>
      <c r="T322">
        <f t="shared" si="13"/>
        <v>0</v>
      </c>
      <c r="U322" t="b">
        <f t="shared" si="14"/>
        <v>0</v>
      </c>
    </row>
    <row r="323" spans="1:21" x14ac:dyDescent="0.3">
      <c r="A323" s="65" t="str">
        <f>IF(OR(SexePerso="Féminin",'Perso Reloaded'!$C$6="Féminin"),"Vertueuse/Conviction","Vertueux/Conviction")</f>
        <v>Vertueux/Conviction</v>
      </c>
      <c r="B323">
        <f>IF(AtoutsHandicapsMatos!$C$5=A323,1,0)</f>
        <v>0</v>
      </c>
      <c r="C323">
        <f>IF(AtoutsHandicapsMatos!$C$6=A323,1,0)</f>
        <v>0</v>
      </c>
      <c r="D323">
        <f>IF(AtoutsHandicapsMatos!$C$7=A323,1,0)</f>
        <v>0</v>
      </c>
      <c r="E323">
        <f>IF(AtoutsHandicapsMatos!$C$8=A323,1,0)</f>
        <v>0</v>
      </c>
      <c r="F323">
        <f>IF(AtoutsHandicapsMatos!$C$9=A323,1,0)</f>
        <v>0</v>
      </c>
      <c r="G323">
        <f>IF(AtoutsHandicapsMatos!$C$10=A323,1,0)</f>
        <v>0</v>
      </c>
      <c r="H323">
        <f>IF(AtoutsHandicapsMatos!$C$11=A323,1,0)</f>
        <v>0</v>
      </c>
      <c r="I323">
        <f>IF(AtoutsHandicapsMatos!$C$12=A323,1,0)</f>
        <v>0</v>
      </c>
      <c r="J323">
        <f>IF(AtoutsHandicapsMatos!$C$13=A323,1,0)</f>
        <v>0</v>
      </c>
      <c r="K323">
        <f>IF(AtoutsHandicapsMatos!$C$14=A323,1,0)</f>
        <v>0</v>
      </c>
      <c r="L323">
        <f>IF('Perso Reloaded'!$L$20=A323,1,0)</f>
        <v>0</v>
      </c>
      <c r="M323">
        <f>IF('Perso Reloaded'!$L$21=A323,1,0)</f>
        <v>0</v>
      </c>
      <c r="N323">
        <f>IF('Perso Reloaded'!$L$22=A323,1,0)</f>
        <v>0</v>
      </c>
      <c r="O323">
        <f>IF('Perso Reloaded'!$L$23=A323,1,0)</f>
        <v>0</v>
      </c>
      <c r="P323">
        <f>IF('Perso Reloaded'!$L$24=A323,1,0)</f>
        <v>0</v>
      </c>
      <c r="Q323">
        <f>IF('Perso Reloaded'!$L$25=A323,1,0)</f>
        <v>0</v>
      </c>
      <c r="R323">
        <f>IF('Perso Reloaded'!$L$26=A323,1,0)</f>
        <v>0</v>
      </c>
      <c r="S323">
        <f>IF('Perso Reloaded'!$L$27=A323,1,0)</f>
        <v>0</v>
      </c>
      <c r="T323">
        <f t="shared" si="13"/>
        <v>0</v>
      </c>
      <c r="U323" t="b">
        <f t="shared" si="14"/>
        <v>0</v>
      </c>
    </row>
    <row r="324" spans="1:21" x14ac:dyDescent="0.3">
      <c r="A324" s="65" t="s">
        <v>293</v>
      </c>
      <c r="B324">
        <f>IF(AtoutsHandicapsMatos!$C$5=A324,1,0)</f>
        <v>0</v>
      </c>
      <c r="C324">
        <f>IF(AtoutsHandicapsMatos!$C$6=A324,1,0)</f>
        <v>0</v>
      </c>
      <c r="D324">
        <f>IF(AtoutsHandicapsMatos!$C$7=A324,1,0)</f>
        <v>0</v>
      </c>
      <c r="E324">
        <f>IF(AtoutsHandicapsMatos!$C$8=A324,1,0)</f>
        <v>0</v>
      </c>
      <c r="F324">
        <f>IF(AtoutsHandicapsMatos!$C$9=A324,1,0)</f>
        <v>0</v>
      </c>
      <c r="G324">
        <f>IF(AtoutsHandicapsMatos!$C$10=A324,1,0)</f>
        <v>0</v>
      </c>
      <c r="H324">
        <f>IF(AtoutsHandicapsMatos!$C$11=A324,1,0)</f>
        <v>0</v>
      </c>
      <c r="I324">
        <f>IF(AtoutsHandicapsMatos!$C$12=A324,1,0)</f>
        <v>0</v>
      </c>
      <c r="J324">
        <f>IF(AtoutsHandicapsMatos!$C$13=A324,1,0)</f>
        <v>0</v>
      </c>
      <c r="K324">
        <f>IF(AtoutsHandicapsMatos!$C$14=A324,1,0)</f>
        <v>0</v>
      </c>
      <c r="L324">
        <f>IF('Perso Reloaded'!$L$20=A324,1,0)</f>
        <v>0</v>
      </c>
      <c r="M324">
        <f>IF('Perso Reloaded'!$L$21=A324,1,0)</f>
        <v>0</v>
      </c>
      <c r="N324">
        <f>IF('Perso Reloaded'!$L$22=A324,1,0)</f>
        <v>0</v>
      </c>
      <c r="O324">
        <f>IF('Perso Reloaded'!$L$23=A324,1,0)</f>
        <v>0</v>
      </c>
      <c r="P324">
        <f>IF('Perso Reloaded'!$L$24=A324,1,0)</f>
        <v>0</v>
      </c>
      <c r="Q324">
        <f>IF('Perso Reloaded'!$L$25=A324,1,0)</f>
        <v>0</v>
      </c>
      <c r="R324">
        <f>IF('Perso Reloaded'!$L$26=A324,1,0)</f>
        <v>0</v>
      </c>
      <c r="S324">
        <f>IF('Perso Reloaded'!$L$27=A324,1,0)</f>
        <v>0</v>
      </c>
      <c r="T324">
        <f t="shared" si="13"/>
        <v>0</v>
      </c>
      <c r="U324" t="b">
        <f t="shared" si="14"/>
        <v>0</v>
      </c>
    </row>
    <row r="325" spans="1:21" x14ac:dyDescent="0.3">
      <c r="A325" s="65" t="str">
        <f>IF(OR(SexePerso="Féminin",'Perso Reloaded'!$C$6="Féminin"),"Voleuse","Voleur")</f>
        <v>Voleur</v>
      </c>
      <c r="B325">
        <f>IF(AtoutsHandicapsMatos!$C$5=A325,1,0)</f>
        <v>0</v>
      </c>
      <c r="C325">
        <f>IF(AtoutsHandicapsMatos!$C$6=A325,1,0)</f>
        <v>0</v>
      </c>
      <c r="D325">
        <f>IF(AtoutsHandicapsMatos!$C$7=A325,1,0)</f>
        <v>0</v>
      </c>
      <c r="E325">
        <f>IF(AtoutsHandicapsMatos!$C$8=A325,1,0)</f>
        <v>0</v>
      </c>
      <c r="F325">
        <f>IF(AtoutsHandicapsMatos!$C$9=A325,1,0)</f>
        <v>0</v>
      </c>
      <c r="G325">
        <f>IF(AtoutsHandicapsMatos!$C$10=A325,1,0)</f>
        <v>0</v>
      </c>
      <c r="H325">
        <f>IF(AtoutsHandicapsMatos!$C$11=A325,1,0)</f>
        <v>0</v>
      </c>
      <c r="I325">
        <f>IF(AtoutsHandicapsMatos!$C$12=A325,1,0)</f>
        <v>0</v>
      </c>
      <c r="J325">
        <f>IF(AtoutsHandicapsMatos!$C$13=A325,1,0)</f>
        <v>0</v>
      </c>
      <c r="K325">
        <f>IF(AtoutsHandicapsMatos!$C$14=A325,1,0)</f>
        <v>0</v>
      </c>
      <c r="L325">
        <f>IF('Perso Reloaded'!$L$20=A325,1,0)</f>
        <v>0</v>
      </c>
      <c r="M325">
        <f>IF('Perso Reloaded'!$L$21=A325,1,0)</f>
        <v>0</v>
      </c>
      <c r="N325">
        <f>IF('Perso Reloaded'!$L$22=A325,1,0)</f>
        <v>0</v>
      </c>
      <c r="O325">
        <f>IF('Perso Reloaded'!$L$23=A325,1,0)</f>
        <v>0</v>
      </c>
      <c r="P325">
        <f>IF('Perso Reloaded'!$L$24=A325,1,0)</f>
        <v>0</v>
      </c>
      <c r="Q325">
        <f>IF('Perso Reloaded'!$L$25=A325,1,0)</f>
        <v>0</v>
      </c>
      <c r="R325">
        <f>IF('Perso Reloaded'!$L$26=A325,1,0)</f>
        <v>0</v>
      </c>
      <c r="S325">
        <f>IF('Perso Reloaded'!$L$27=A325,1,0)</f>
        <v>0</v>
      </c>
      <c r="T325">
        <f t="shared" si="13"/>
        <v>0</v>
      </c>
      <c r="U325" t="b">
        <f t="shared" si="14"/>
        <v>0</v>
      </c>
    </row>
    <row r="326" spans="1:21" x14ac:dyDescent="0.3">
      <c r="A326" s="65" t="s">
        <v>3407</v>
      </c>
      <c r="B326">
        <f>IF(AtoutsHandicapsMatos!$C$5=A326,1,0)</f>
        <v>0</v>
      </c>
      <c r="C326">
        <f>IF(AtoutsHandicapsMatos!$C$6=A326,1,0)</f>
        <v>0</v>
      </c>
      <c r="D326">
        <f>IF(AtoutsHandicapsMatos!$C$7=A326,1,0)</f>
        <v>0</v>
      </c>
      <c r="E326">
        <f>IF(AtoutsHandicapsMatos!$C$8=A326,1,0)</f>
        <v>0</v>
      </c>
      <c r="F326">
        <f>IF(AtoutsHandicapsMatos!$C$9=A326,1,0)</f>
        <v>0</v>
      </c>
      <c r="G326">
        <f>IF(AtoutsHandicapsMatos!$C$10=A326,1,0)</f>
        <v>0</v>
      </c>
      <c r="H326">
        <f>IF(AtoutsHandicapsMatos!$C$11=A326,1,0)</f>
        <v>0</v>
      </c>
      <c r="I326">
        <f>IF(AtoutsHandicapsMatos!$C$12=A326,1,0)</f>
        <v>0</v>
      </c>
      <c r="J326">
        <f>IF(AtoutsHandicapsMatos!$C$13=A326,1,0)</f>
        <v>0</v>
      </c>
      <c r="K326">
        <f>IF(AtoutsHandicapsMatos!$C$14=A326,1,0)</f>
        <v>0</v>
      </c>
      <c r="L326">
        <f>IF('Perso Reloaded'!$L$20=A326,1,0)</f>
        <v>0</v>
      </c>
      <c r="M326">
        <f>IF('Perso Reloaded'!$L$21=A326,1,0)</f>
        <v>0</v>
      </c>
      <c r="N326">
        <f>IF('Perso Reloaded'!$L$22=A326,1,0)</f>
        <v>0</v>
      </c>
      <c r="O326">
        <f>IF('Perso Reloaded'!$L$23=A326,1,0)</f>
        <v>0</v>
      </c>
      <c r="P326">
        <f>IF('Perso Reloaded'!$L$24=A326,1,0)</f>
        <v>0</v>
      </c>
      <c r="Q326">
        <f>IF('Perso Reloaded'!$L$25=A326,1,0)</f>
        <v>0</v>
      </c>
      <c r="R326">
        <f>IF('Perso Reloaded'!$L$26=A326,1,0)</f>
        <v>0</v>
      </c>
      <c r="S326">
        <f>IF('Perso Reloaded'!$L$27=A326,1,0)</f>
        <v>0</v>
      </c>
      <c r="T326">
        <f t="shared" si="13"/>
        <v>0</v>
      </c>
      <c r="U326" t="b">
        <f t="shared" si="14"/>
        <v>0</v>
      </c>
    </row>
    <row r="327" spans="1:21" x14ac:dyDescent="0.3">
      <c r="A327" s="65" t="s">
        <v>3645</v>
      </c>
      <c r="B327">
        <f>IF(AtoutsHandicapsMatos!$C$5=A327,1,0)</f>
        <v>0</v>
      </c>
      <c r="C327">
        <f>IF(AtoutsHandicapsMatos!$C$6=A327,1,0)</f>
        <v>0</v>
      </c>
      <c r="D327">
        <f>IF(AtoutsHandicapsMatos!$C$7=A327,1,0)</f>
        <v>0</v>
      </c>
      <c r="E327">
        <f>IF(AtoutsHandicapsMatos!$C$8=A327,1,0)</f>
        <v>0</v>
      </c>
      <c r="F327">
        <f>IF(AtoutsHandicapsMatos!$C$9=A327,1,0)</f>
        <v>0</v>
      </c>
      <c r="G327">
        <f>IF(AtoutsHandicapsMatos!$C$10=A327,1,0)</f>
        <v>0</v>
      </c>
      <c r="H327">
        <f>IF(AtoutsHandicapsMatos!$C$11=A327,1,0)</f>
        <v>0</v>
      </c>
      <c r="I327">
        <f>IF(AtoutsHandicapsMatos!$C$12=A327,1,0)</f>
        <v>0</v>
      </c>
      <c r="J327">
        <f>IF(AtoutsHandicapsMatos!$C$13=A327,1,0)</f>
        <v>0</v>
      </c>
      <c r="K327">
        <f>IF(AtoutsHandicapsMatos!$C$14=A327,1,0)</f>
        <v>0</v>
      </c>
      <c r="L327">
        <f>IF('Perso Reloaded'!$L$20=A327,1,0)</f>
        <v>0</v>
      </c>
      <c r="M327">
        <f>IF('Perso Reloaded'!$L$21=A327,1,0)</f>
        <v>0</v>
      </c>
      <c r="N327">
        <f>IF('Perso Reloaded'!$L$22=A327,1,0)</f>
        <v>0</v>
      </c>
      <c r="O327">
        <f>IF('Perso Reloaded'!$L$23=A327,1,0)</f>
        <v>0</v>
      </c>
      <c r="P327">
        <f>IF('Perso Reloaded'!$L$24=A327,1,0)</f>
        <v>0</v>
      </c>
      <c r="Q327">
        <f>IF('Perso Reloaded'!$L$25=A327,1,0)</f>
        <v>0</v>
      </c>
      <c r="R327">
        <f>IF('Perso Reloaded'!$L$26=A327,1,0)</f>
        <v>0</v>
      </c>
      <c r="S327">
        <f>IF('Perso Reloaded'!$L$27=A327,1,0)</f>
        <v>0</v>
      </c>
      <c r="T327">
        <f t="shared" si="13"/>
        <v>0</v>
      </c>
      <c r="U327" t="b">
        <f t="shared" si="14"/>
        <v>0</v>
      </c>
    </row>
    <row r="328" spans="1:21" x14ac:dyDescent="0.3">
      <c r="A328" s="65" t="s">
        <v>1384</v>
      </c>
      <c r="B328">
        <f>IF(AtoutsHandicapsMatos!$C$5=A328,1,0)</f>
        <v>0</v>
      </c>
      <c r="C328">
        <f>IF(AtoutsHandicapsMatos!$C$6=A328,1,0)</f>
        <v>0</v>
      </c>
      <c r="D328">
        <f>IF(AtoutsHandicapsMatos!$C$7=A328,1,0)</f>
        <v>0</v>
      </c>
      <c r="E328">
        <f>IF(AtoutsHandicapsMatos!$C$8=A328,1,0)</f>
        <v>0</v>
      </c>
      <c r="F328">
        <f>IF(AtoutsHandicapsMatos!$C$9=A328,1,0)</f>
        <v>0</v>
      </c>
      <c r="G328">
        <f>IF(AtoutsHandicapsMatos!$C$10=A328,1,0)</f>
        <v>0</v>
      </c>
      <c r="H328">
        <f>IF(AtoutsHandicapsMatos!$C$11=A328,1,0)</f>
        <v>0</v>
      </c>
      <c r="I328">
        <f>IF(AtoutsHandicapsMatos!$C$12=A328,1,0)</f>
        <v>0</v>
      </c>
      <c r="J328">
        <f>IF(AtoutsHandicapsMatos!$C$13=A328,1,0)</f>
        <v>0</v>
      </c>
      <c r="K328">
        <f>IF(AtoutsHandicapsMatos!$C$14=A328,1,0)</f>
        <v>0</v>
      </c>
      <c r="L328">
        <f>IF('Perso Reloaded'!$L$20=A328,1,0)</f>
        <v>0</v>
      </c>
      <c r="M328">
        <f>IF('Perso Reloaded'!$L$21=A328,1,0)</f>
        <v>0</v>
      </c>
      <c r="N328">
        <f>IF('Perso Reloaded'!$L$22=A328,1,0)</f>
        <v>0</v>
      </c>
      <c r="O328">
        <f>IF('Perso Reloaded'!$L$23=A328,1,0)</f>
        <v>0</v>
      </c>
      <c r="P328">
        <f>IF('Perso Reloaded'!$L$24=A328,1,0)</f>
        <v>0</v>
      </c>
      <c r="Q328">
        <f>IF('Perso Reloaded'!$L$25=A328,1,0)</f>
        <v>0</v>
      </c>
      <c r="R328">
        <f>IF('Perso Reloaded'!$L$26=A328,1,0)</f>
        <v>0</v>
      </c>
      <c r="S328">
        <f>IF('Perso Reloaded'!$L$27=A328,1,0)</f>
        <v>0</v>
      </c>
      <c r="T328">
        <f t="shared" ref="T328:T331" si="16">SUM(B328:S328)</f>
        <v>0</v>
      </c>
      <c r="U328" t="b">
        <f t="shared" ref="U328:U331" si="17">IF(T328=0,FALSE,TRUE)</f>
        <v>0</v>
      </c>
    </row>
    <row r="329" spans="1:21" x14ac:dyDescent="0.3">
      <c r="A329" s="65" t="s">
        <v>1385</v>
      </c>
      <c r="B329">
        <f>IF(AtoutsHandicapsMatos!$C$5=A329,1,0)</f>
        <v>0</v>
      </c>
      <c r="C329">
        <f>IF(AtoutsHandicapsMatos!$C$6=A329,1,0)</f>
        <v>0</v>
      </c>
      <c r="D329">
        <f>IF(AtoutsHandicapsMatos!$C$7=A329,1,0)</f>
        <v>0</v>
      </c>
      <c r="E329">
        <f>IF(AtoutsHandicapsMatos!$C$8=A329,1,0)</f>
        <v>0</v>
      </c>
      <c r="F329">
        <f>IF(AtoutsHandicapsMatos!$C$9=A329,1,0)</f>
        <v>0</v>
      </c>
      <c r="G329">
        <f>IF(AtoutsHandicapsMatos!$C$10=A329,1,0)</f>
        <v>0</v>
      </c>
      <c r="H329">
        <f>IF(AtoutsHandicapsMatos!$C$11=A329,1,0)</f>
        <v>0</v>
      </c>
      <c r="I329">
        <f>IF(AtoutsHandicapsMatos!$C$12=A329,1,0)</f>
        <v>0</v>
      </c>
      <c r="J329">
        <f>IF(AtoutsHandicapsMatos!$C$13=A329,1,0)</f>
        <v>0</v>
      </c>
      <c r="K329">
        <f>IF(AtoutsHandicapsMatos!$C$14=A329,1,0)</f>
        <v>0</v>
      </c>
      <c r="L329">
        <f>IF('Perso Reloaded'!$L$20=A329,1,0)</f>
        <v>0</v>
      </c>
      <c r="M329">
        <f>IF('Perso Reloaded'!$L$21=A329,1,0)</f>
        <v>0</v>
      </c>
      <c r="N329">
        <f>IF('Perso Reloaded'!$L$22=A329,1,0)</f>
        <v>0</v>
      </c>
      <c r="O329">
        <f>IF('Perso Reloaded'!$L$23=A329,1,0)</f>
        <v>0</v>
      </c>
      <c r="P329">
        <f>IF('Perso Reloaded'!$L$24=A329,1,0)</f>
        <v>0</v>
      </c>
      <c r="Q329">
        <f>IF('Perso Reloaded'!$L$25=A329,1,0)</f>
        <v>0</v>
      </c>
      <c r="R329">
        <f>IF('Perso Reloaded'!$L$26=A329,1,0)</f>
        <v>0</v>
      </c>
      <c r="S329">
        <f>IF('Perso Reloaded'!$L$27=A329,1,0)</f>
        <v>0</v>
      </c>
      <c r="T329">
        <f t="shared" si="16"/>
        <v>0</v>
      </c>
      <c r="U329" t="b">
        <f t="shared" si="17"/>
        <v>0</v>
      </c>
    </row>
    <row r="330" spans="1:21" x14ac:dyDescent="0.3">
      <c r="A330" s="65" t="s">
        <v>5208</v>
      </c>
      <c r="B330">
        <f>IF(AtoutsHandicapsMatos!$C$5=A330,1,0)</f>
        <v>0</v>
      </c>
      <c r="C330">
        <f>IF(AtoutsHandicapsMatos!$C$6=A330,1,0)</f>
        <v>0</v>
      </c>
      <c r="D330">
        <f>IF(AtoutsHandicapsMatos!$C$7=A330,1,0)</f>
        <v>0</v>
      </c>
      <c r="E330">
        <f>IF(AtoutsHandicapsMatos!$C$8=A330,1,0)</f>
        <v>0</v>
      </c>
      <c r="F330">
        <f>IF(AtoutsHandicapsMatos!$C$9=A330,1,0)</f>
        <v>0</v>
      </c>
      <c r="G330">
        <f>IF(AtoutsHandicapsMatos!$C$10=A330,1,0)</f>
        <v>0</v>
      </c>
      <c r="H330">
        <f>IF(AtoutsHandicapsMatos!$C$11=A330,1,0)</f>
        <v>0</v>
      </c>
      <c r="I330">
        <f>IF(AtoutsHandicapsMatos!$C$12=A330,1,0)</f>
        <v>0</v>
      </c>
      <c r="J330">
        <f>IF(AtoutsHandicapsMatos!$C$13=A330,1,0)</f>
        <v>0</v>
      </c>
      <c r="K330">
        <f>IF(AtoutsHandicapsMatos!$C$14=A330,1,0)</f>
        <v>0</v>
      </c>
      <c r="L330">
        <f>IF('Perso Reloaded'!$L$20=A330,1,0)</f>
        <v>0</v>
      </c>
      <c r="M330">
        <f>IF('Perso Reloaded'!$L$21=A330,1,0)</f>
        <v>0</v>
      </c>
      <c r="N330">
        <f>IF('Perso Reloaded'!$L$22=A330,1,0)</f>
        <v>0</v>
      </c>
      <c r="O330">
        <f>IF('Perso Reloaded'!$L$23=A330,1,0)</f>
        <v>0</v>
      </c>
      <c r="P330">
        <f>IF('Perso Reloaded'!$L$24=A330,1,0)</f>
        <v>0</v>
      </c>
      <c r="Q330">
        <f>IF('Perso Reloaded'!$L$25=A330,1,0)</f>
        <v>0</v>
      </c>
      <c r="R330">
        <f>IF('Perso Reloaded'!$L$26=A330,1,0)</f>
        <v>0</v>
      </c>
      <c r="S330">
        <f>IF('Perso Reloaded'!$L$27=A330,1,0)</f>
        <v>0</v>
      </c>
      <c r="T330">
        <f t="shared" si="16"/>
        <v>0</v>
      </c>
      <c r="U330" t="b">
        <f t="shared" si="17"/>
        <v>0</v>
      </c>
    </row>
    <row r="331" spans="1:21" x14ac:dyDescent="0.3">
      <c r="A331" s="65" t="s">
        <v>4134</v>
      </c>
      <c r="B331">
        <f>IF(AtoutsHandicapsMatos!$C$5=A331,1,0)</f>
        <v>0</v>
      </c>
      <c r="C331">
        <f>IF(AtoutsHandicapsMatos!$C$6=A331,1,0)</f>
        <v>0</v>
      </c>
      <c r="D331">
        <f>IF(AtoutsHandicapsMatos!$C$7=A331,1,0)</f>
        <v>0</v>
      </c>
      <c r="E331">
        <f>IF(AtoutsHandicapsMatos!$C$8=A331,1,0)</f>
        <v>0</v>
      </c>
      <c r="F331">
        <f>IF(AtoutsHandicapsMatos!$C$9=A331,1,0)</f>
        <v>0</v>
      </c>
      <c r="G331">
        <f>IF(AtoutsHandicapsMatos!$C$10=A331,1,0)</f>
        <v>0</v>
      </c>
      <c r="H331">
        <f>IF(AtoutsHandicapsMatos!$C$11=A331,1,0)</f>
        <v>0</v>
      </c>
      <c r="I331">
        <f>IF(AtoutsHandicapsMatos!$C$12=A331,1,0)</f>
        <v>0</v>
      </c>
      <c r="J331">
        <f>IF(AtoutsHandicapsMatos!$C$13=A331,1,0)</f>
        <v>0</v>
      </c>
      <c r="K331">
        <f>IF(AtoutsHandicapsMatos!$C$14=A331,1,0)</f>
        <v>0</v>
      </c>
      <c r="L331">
        <f>IF('Perso Reloaded'!$L$20=A331,1,0)</f>
        <v>0</v>
      </c>
      <c r="M331">
        <f>IF('Perso Reloaded'!$L$21=A331,1,0)</f>
        <v>0</v>
      </c>
      <c r="N331">
        <f>IF('Perso Reloaded'!$L$22=A331,1,0)</f>
        <v>0</v>
      </c>
      <c r="O331">
        <f>IF('Perso Reloaded'!$L$23=A331,1,0)</f>
        <v>0</v>
      </c>
      <c r="P331">
        <f>IF('Perso Reloaded'!$L$24=A331,1,0)</f>
        <v>0</v>
      </c>
      <c r="Q331">
        <f>IF('Perso Reloaded'!$L$25=A331,1,0)</f>
        <v>0</v>
      </c>
      <c r="R331">
        <f>IF('Perso Reloaded'!$L$26=A331,1,0)</f>
        <v>0</v>
      </c>
      <c r="S331">
        <f>IF('Perso Reloaded'!$L$27=A331,1,0)</f>
        <v>0</v>
      </c>
      <c r="T331">
        <f t="shared" si="16"/>
        <v>0</v>
      </c>
      <c r="U331" t="b">
        <f t="shared" si="17"/>
        <v>0</v>
      </c>
    </row>
    <row r="332" spans="1:21" x14ac:dyDescent="0.3">
      <c r="A332" s="125" t="s">
        <v>353</v>
      </c>
      <c r="B332" s="126" t="s">
        <v>1396</v>
      </c>
      <c r="C332" s="126" t="s">
        <v>1397</v>
      </c>
      <c r="D332" s="126" t="s">
        <v>1398</v>
      </c>
      <c r="E332" s="126" t="s">
        <v>1399</v>
      </c>
      <c r="F332" s="126" t="s">
        <v>1400</v>
      </c>
      <c r="G332" s="126" t="s">
        <v>1401</v>
      </c>
      <c r="H332" s="126" t="s">
        <v>1402</v>
      </c>
      <c r="I332" s="126" t="s">
        <v>1403</v>
      </c>
      <c r="J332" s="126" t="s">
        <v>1404</v>
      </c>
      <c r="K332" s="126" t="s">
        <v>1405</v>
      </c>
      <c r="L332" s="126" t="s">
        <v>3850</v>
      </c>
      <c r="M332" s="126" t="s">
        <v>3851</v>
      </c>
      <c r="N332" s="126" t="s">
        <v>3852</v>
      </c>
      <c r="O332" s="126" t="s">
        <v>3853</v>
      </c>
      <c r="P332" s="126" t="s">
        <v>3854</v>
      </c>
      <c r="Q332" s="126" t="s">
        <v>3855</v>
      </c>
      <c r="R332" s="126" t="s">
        <v>3856</v>
      </c>
      <c r="S332" s="126" t="s">
        <v>3857</v>
      </c>
      <c r="T332" s="126"/>
      <c r="U332" s="126"/>
    </row>
    <row r="333" spans="1:21" x14ac:dyDescent="0.3">
      <c r="A333" s="65" t="s">
        <v>3646</v>
      </c>
      <c r="B333">
        <f>IF(AtoutsHandicapsMatos!$N$5=A333,1,0)</f>
        <v>0</v>
      </c>
      <c r="C333">
        <f>IF(AtoutsHandicapsMatos!$N$6=A333,1,0)</f>
        <v>0</v>
      </c>
      <c r="D333">
        <f>IF(AtoutsHandicapsMatos!$N$7=A333,1,0)</f>
        <v>0</v>
      </c>
      <c r="E333">
        <f>IF(AtoutsHandicapsMatos!$N$8=A333,1,0)</f>
        <v>0</v>
      </c>
      <c r="F333">
        <f>IF(AtoutsHandicapsMatos!$N$9=A333,1,0)</f>
        <v>0</v>
      </c>
      <c r="G333">
        <f>IF(AtoutsHandicapsMatos!$O$10=A333,1,0)</f>
        <v>0</v>
      </c>
      <c r="H333">
        <f>IF(AtoutsHandicapsMatos!$O$11=A333,1,0)</f>
        <v>0</v>
      </c>
      <c r="I333">
        <f>IF(AtoutsHandicapsMatos!$O$12=A333,1,0)</f>
        <v>0</v>
      </c>
      <c r="J333">
        <f>IF(AtoutsHandicapsMatos!$N$13=A333,1,0)</f>
        <v>0</v>
      </c>
      <c r="K333">
        <f>IF(AtoutsHandicapsMatos!$N$14=A333,1,0)</f>
        <v>0</v>
      </c>
      <c r="L333">
        <f>IF('Perso Reloaded'!$L$30=A333,1,0)</f>
        <v>0</v>
      </c>
      <c r="M333">
        <f>IF('Perso Reloaded'!$L$31=A333,1,0)</f>
        <v>0</v>
      </c>
      <c r="N333">
        <f>IF('Perso Reloaded'!$L$32=A333,1,0)</f>
        <v>0</v>
      </c>
      <c r="O333">
        <f>IF('Perso Reloaded'!$L$33=A333,1,0)</f>
        <v>0</v>
      </c>
      <c r="P333">
        <f>IF('Perso Reloaded'!$L$34=A333,1,0)</f>
        <v>0</v>
      </c>
      <c r="Q333">
        <f>IF('Perso Reloaded'!$L$35=A333,1,0)</f>
        <v>0</v>
      </c>
      <c r="R333">
        <f>IF('Perso Reloaded'!$L$36=A333,1,0)</f>
        <v>0</v>
      </c>
      <c r="S333">
        <f>IF('Perso Reloaded'!$L$37=A333,1,0)</f>
        <v>0</v>
      </c>
      <c r="T333">
        <f t="shared" ref="T333:T336" si="18">SUM(B333:S333)</f>
        <v>0</v>
      </c>
      <c r="U333" t="b">
        <f>IF(T333=0,FALSE,TRUE)</f>
        <v>0</v>
      </c>
    </row>
    <row r="334" spans="1:21" x14ac:dyDescent="0.3">
      <c r="A334" s="65" t="s">
        <v>3647</v>
      </c>
      <c r="B334">
        <f>IF(AtoutsHandicapsMatos!$N$5=A334,1,0)</f>
        <v>0</v>
      </c>
      <c r="C334">
        <f>IF(AtoutsHandicapsMatos!$N$6=A334,1,0)</f>
        <v>0</v>
      </c>
      <c r="D334">
        <f>IF(AtoutsHandicapsMatos!$N$7=A334,1,0)</f>
        <v>0</v>
      </c>
      <c r="E334">
        <f>IF(AtoutsHandicapsMatos!$N$8=A334,1,0)</f>
        <v>0</v>
      </c>
      <c r="F334">
        <f>IF(AtoutsHandicapsMatos!$N$9=A334,1,0)</f>
        <v>0</v>
      </c>
      <c r="G334">
        <f>IF(AtoutsHandicapsMatos!$O$10=A334,1,0)</f>
        <v>0</v>
      </c>
      <c r="H334">
        <f>IF(AtoutsHandicapsMatos!$O$11=A334,1,0)</f>
        <v>0</v>
      </c>
      <c r="I334">
        <f>IF(AtoutsHandicapsMatos!$O$12=A334,1,0)</f>
        <v>0</v>
      </c>
      <c r="J334">
        <f>IF(AtoutsHandicapsMatos!$N$13=A334,1,0)</f>
        <v>0</v>
      </c>
      <c r="K334">
        <f>IF(AtoutsHandicapsMatos!$N$14=A334,1,0)</f>
        <v>0</v>
      </c>
      <c r="L334">
        <f>IF('Perso Reloaded'!$L$30=A334,1,0)</f>
        <v>0</v>
      </c>
      <c r="M334">
        <f>IF('Perso Reloaded'!$L$31=A334,1,0)</f>
        <v>0</v>
      </c>
      <c r="N334">
        <f>IF('Perso Reloaded'!$L$32=A334,1,0)</f>
        <v>0</v>
      </c>
      <c r="O334">
        <f>IF('Perso Reloaded'!$L$33=A334,1,0)</f>
        <v>0</v>
      </c>
      <c r="P334">
        <f>IF('Perso Reloaded'!$L$34=A334,1,0)</f>
        <v>0</v>
      </c>
      <c r="Q334">
        <f>IF('Perso Reloaded'!$L$35=A334,1,0)</f>
        <v>0</v>
      </c>
      <c r="R334">
        <f>IF('Perso Reloaded'!$L$36=A334,1,0)</f>
        <v>0</v>
      </c>
      <c r="S334">
        <f>IF('Perso Reloaded'!$L$37=A334,1,0)</f>
        <v>0</v>
      </c>
      <c r="T334">
        <f t="shared" si="18"/>
        <v>0</v>
      </c>
      <c r="U334" t="b">
        <f t="shared" ref="U334:U406" si="19">IF(T334=0,FALSE,TRUE)</f>
        <v>0</v>
      </c>
    </row>
    <row r="335" spans="1:21" x14ac:dyDescent="0.3">
      <c r="A335" s="65" t="s">
        <v>1523</v>
      </c>
      <c r="B335">
        <f>IF(AtoutsHandicapsMatos!$N$5=A335,1,0)</f>
        <v>0</v>
      </c>
      <c r="C335">
        <f>IF(AtoutsHandicapsMatos!$N$6=A335,1,0)</f>
        <v>0</v>
      </c>
      <c r="D335">
        <f>IF(AtoutsHandicapsMatos!$N$7=A335,1,0)</f>
        <v>0</v>
      </c>
      <c r="E335">
        <f>IF(AtoutsHandicapsMatos!$N$8=A335,1,0)</f>
        <v>0</v>
      </c>
      <c r="F335">
        <f>IF(AtoutsHandicapsMatos!$N$9=A335,1,0)</f>
        <v>0</v>
      </c>
      <c r="G335">
        <f>IF(AtoutsHandicapsMatos!$O$10=A335,1,0)</f>
        <v>0</v>
      </c>
      <c r="H335">
        <f>IF(AtoutsHandicapsMatos!$O$11=A335,1,0)</f>
        <v>0</v>
      </c>
      <c r="I335">
        <f>IF(AtoutsHandicapsMatos!$O$12=A335,1,0)</f>
        <v>0</v>
      </c>
      <c r="J335">
        <f>IF(AtoutsHandicapsMatos!$N$13=A335,1,0)</f>
        <v>0</v>
      </c>
      <c r="K335">
        <f>IF(AtoutsHandicapsMatos!$N$14=A335,1,0)</f>
        <v>0</v>
      </c>
      <c r="L335">
        <f>IF('Perso Reloaded'!$L$30=A335,1,0)</f>
        <v>0</v>
      </c>
      <c r="M335">
        <f>IF('Perso Reloaded'!$L$31=A335,1,0)</f>
        <v>0</v>
      </c>
      <c r="N335">
        <f>IF('Perso Reloaded'!$L$32=A335,1,0)</f>
        <v>0</v>
      </c>
      <c r="O335">
        <f>IF('Perso Reloaded'!$L$33=A335,1,0)</f>
        <v>0</v>
      </c>
      <c r="P335">
        <f>IF('Perso Reloaded'!$L$34=A335,1,0)</f>
        <v>0</v>
      </c>
      <c r="Q335">
        <f>IF('Perso Reloaded'!$L$35=A335,1,0)</f>
        <v>0</v>
      </c>
      <c r="R335">
        <f>IF('Perso Reloaded'!$L$36=A335,1,0)</f>
        <v>0</v>
      </c>
      <c r="S335">
        <f>IF('Perso Reloaded'!$L$37=A335,1,0)</f>
        <v>0</v>
      </c>
      <c r="T335">
        <f t="shared" si="18"/>
        <v>0</v>
      </c>
      <c r="U335" t="b">
        <f t="shared" si="19"/>
        <v>0</v>
      </c>
    </row>
    <row r="336" spans="1:21" x14ac:dyDescent="0.3">
      <c r="A336" s="65" t="s">
        <v>5092</v>
      </c>
      <c r="B336">
        <f>IF(AtoutsHandicapsMatos!$N$5=A336,1,0)</f>
        <v>0</v>
      </c>
      <c r="C336">
        <f>IF(AtoutsHandicapsMatos!$N$6=A336,1,0)</f>
        <v>0</v>
      </c>
      <c r="D336">
        <f>IF(AtoutsHandicapsMatos!$N$7=A336,1,0)</f>
        <v>0</v>
      </c>
      <c r="E336">
        <f>IF(AtoutsHandicapsMatos!$N$8=A336,1,0)</f>
        <v>0</v>
      </c>
      <c r="F336">
        <f>IF(AtoutsHandicapsMatos!$N$9=A336,1,0)</f>
        <v>0</v>
      </c>
      <c r="G336">
        <f>IF(AtoutsHandicapsMatos!$O$10=A336,1,0)</f>
        <v>0</v>
      </c>
      <c r="H336">
        <f>IF(AtoutsHandicapsMatos!$O$11=A336,1,0)</f>
        <v>0</v>
      </c>
      <c r="I336">
        <f>IF(AtoutsHandicapsMatos!$O$12=A336,1,0)</f>
        <v>0</v>
      </c>
      <c r="J336">
        <f>IF(AtoutsHandicapsMatos!$N$13=A336,1,0)</f>
        <v>0</v>
      </c>
      <c r="K336">
        <f>IF(AtoutsHandicapsMatos!$N$14=A336,1,0)</f>
        <v>0</v>
      </c>
      <c r="L336">
        <f>IF('Perso Reloaded'!$L$30=A336,1,0)</f>
        <v>0</v>
      </c>
      <c r="M336">
        <f>IF('Perso Reloaded'!$L$31=A336,1,0)</f>
        <v>0</v>
      </c>
      <c r="N336">
        <f>IF('Perso Reloaded'!$L$32=A336,1,0)</f>
        <v>0</v>
      </c>
      <c r="O336">
        <f>IF('Perso Reloaded'!$L$33=A336,1,0)</f>
        <v>0</v>
      </c>
      <c r="P336">
        <f>IF('Perso Reloaded'!$L$34=A336,1,0)</f>
        <v>0</v>
      </c>
      <c r="Q336">
        <f>IF('Perso Reloaded'!$L$35=A336,1,0)</f>
        <v>0</v>
      </c>
      <c r="R336">
        <f>IF('Perso Reloaded'!$L$36=A336,1,0)</f>
        <v>0</v>
      </c>
      <c r="S336">
        <f>IF('Perso Reloaded'!$L$37=A336,1,0)</f>
        <v>0</v>
      </c>
      <c r="T336">
        <f t="shared" si="18"/>
        <v>0</v>
      </c>
      <c r="U336" t="b">
        <f t="shared" si="19"/>
        <v>0</v>
      </c>
    </row>
    <row r="337" spans="1:21" x14ac:dyDescent="0.3">
      <c r="A337" s="65" t="s">
        <v>1524</v>
      </c>
      <c r="B337">
        <f>IF(AtoutsHandicapsMatos!$N$5=A337,1,0)</f>
        <v>0</v>
      </c>
      <c r="C337">
        <f>IF(AtoutsHandicapsMatos!$N$6=A337,1,0)</f>
        <v>0</v>
      </c>
      <c r="D337">
        <f>IF(AtoutsHandicapsMatos!$N$7=A337,1,0)</f>
        <v>0</v>
      </c>
      <c r="E337">
        <f>IF(AtoutsHandicapsMatos!$N$8=A337,1,0)</f>
        <v>0</v>
      </c>
      <c r="F337">
        <f>IF(AtoutsHandicapsMatos!$N$9=A337,1,0)</f>
        <v>0</v>
      </c>
      <c r="G337">
        <f>IF(AtoutsHandicapsMatos!$O$10=A337,1,0)</f>
        <v>0</v>
      </c>
      <c r="H337">
        <f>IF(AtoutsHandicapsMatos!$O$11=A337,1,0)</f>
        <v>0</v>
      </c>
      <c r="I337">
        <f>IF(AtoutsHandicapsMatos!$O$12=A337,1,0)</f>
        <v>0</v>
      </c>
      <c r="J337">
        <f>IF(AtoutsHandicapsMatos!$N$13=A337,1,0)</f>
        <v>0</v>
      </c>
      <c r="K337">
        <f>IF(AtoutsHandicapsMatos!$N$14=A337,1,0)</f>
        <v>0</v>
      </c>
      <c r="L337">
        <f>IF('Perso Reloaded'!$L$30=A337,1,0)</f>
        <v>0</v>
      </c>
      <c r="M337">
        <f>IF('Perso Reloaded'!$L$31=A337,1,0)</f>
        <v>0</v>
      </c>
      <c r="N337">
        <f>IF('Perso Reloaded'!$L$32=A337,1,0)</f>
        <v>0</v>
      </c>
      <c r="O337">
        <f>IF('Perso Reloaded'!$L$33=A337,1,0)</f>
        <v>0</v>
      </c>
      <c r="P337">
        <f>IF('Perso Reloaded'!$L$34=A337,1,0)</f>
        <v>0</v>
      </c>
      <c r="Q337">
        <f>IF('Perso Reloaded'!$L$35=A337,1,0)</f>
        <v>0</v>
      </c>
      <c r="R337">
        <f>IF('Perso Reloaded'!$L$36=A337,1,0)</f>
        <v>0</v>
      </c>
      <c r="S337">
        <f>IF('Perso Reloaded'!$L$37=A337,1,0)</f>
        <v>0</v>
      </c>
      <c r="T337">
        <f t="shared" ref="T337:T404" si="20">SUM(B337:S337)</f>
        <v>0</v>
      </c>
      <c r="U337" t="b">
        <f t="shared" si="19"/>
        <v>0</v>
      </c>
    </row>
    <row r="338" spans="1:21" x14ac:dyDescent="0.3">
      <c r="A338" s="65" t="s">
        <v>1525</v>
      </c>
      <c r="B338">
        <f>IF(AtoutsHandicapsMatos!$N$5=A338,1,0)</f>
        <v>0</v>
      </c>
      <c r="C338">
        <f>IF(AtoutsHandicapsMatos!$N$6=A338,1,0)</f>
        <v>0</v>
      </c>
      <c r="D338">
        <f>IF(AtoutsHandicapsMatos!$N$7=A338,1,0)</f>
        <v>0</v>
      </c>
      <c r="E338">
        <f>IF(AtoutsHandicapsMatos!$N$8=A338,1,0)</f>
        <v>0</v>
      </c>
      <c r="F338">
        <f>IF(AtoutsHandicapsMatos!$N$9=A338,1,0)</f>
        <v>0</v>
      </c>
      <c r="G338">
        <f>IF(AtoutsHandicapsMatos!$O$10=A338,1,0)</f>
        <v>0</v>
      </c>
      <c r="H338">
        <f>IF(AtoutsHandicapsMatos!$O$11=A338,1,0)</f>
        <v>0</v>
      </c>
      <c r="I338">
        <f>IF(AtoutsHandicapsMatos!$O$12=A338,1,0)</f>
        <v>0</v>
      </c>
      <c r="J338">
        <f>IF(AtoutsHandicapsMatos!$N$13=A338,1,0)</f>
        <v>0</v>
      </c>
      <c r="K338">
        <f>IF(AtoutsHandicapsMatos!$N$14=A338,1,0)</f>
        <v>0</v>
      </c>
      <c r="L338">
        <f>IF('Perso Reloaded'!$L$30=A338,1,0)</f>
        <v>0</v>
      </c>
      <c r="M338">
        <f>IF('Perso Reloaded'!$L$31=A338,1,0)</f>
        <v>0</v>
      </c>
      <c r="N338">
        <f>IF('Perso Reloaded'!$L$32=A338,1,0)</f>
        <v>0</v>
      </c>
      <c r="O338">
        <f>IF('Perso Reloaded'!$L$33=A338,1,0)</f>
        <v>0</v>
      </c>
      <c r="P338">
        <f>IF('Perso Reloaded'!$L$34=A338,1,0)</f>
        <v>0</v>
      </c>
      <c r="Q338">
        <f>IF('Perso Reloaded'!$L$35=A338,1,0)</f>
        <v>0</v>
      </c>
      <c r="R338">
        <f>IF('Perso Reloaded'!$L$36=A338,1,0)</f>
        <v>0</v>
      </c>
      <c r="S338">
        <f>IF('Perso Reloaded'!$L$37=A338,1,0)</f>
        <v>0</v>
      </c>
      <c r="T338">
        <f t="shared" si="20"/>
        <v>0</v>
      </c>
      <c r="U338" t="b">
        <f t="shared" si="19"/>
        <v>0</v>
      </c>
    </row>
    <row r="339" spans="1:21" x14ac:dyDescent="0.3">
      <c r="A339" s="65" t="s">
        <v>1526</v>
      </c>
      <c r="B339">
        <f>IF(AtoutsHandicapsMatos!$N$5=A339,1,0)</f>
        <v>0</v>
      </c>
      <c r="C339">
        <f>IF(AtoutsHandicapsMatos!$N$6=A339,1,0)</f>
        <v>0</v>
      </c>
      <c r="D339">
        <f>IF(AtoutsHandicapsMatos!$N$7=A339,1,0)</f>
        <v>0</v>
      </c>
      <c r="E339">
        <f>IF(AtoutsHandicapsMatos!$N$8=A339,1,0)</f>
        <v>0</v>
      </c>
      <c r="F339">
        <f>IF(AtoutsHandicapsMatos!$N$9=A339,1,0)</f>
        <v>0</v>
      </c>
      <c r="G339">
        <f>IF(AtoutsHandicapsMatos!$O$10=A339,1,0)</f>
        <v>0</v>
      </c>
      <c r="H339">
        <f>IF(AtoutsHandicapsMatos!$O$11=A339,1,0)</f>
        <v>0</v>
      </c>
      <c r="I339">
        <f>IF(AtoutsHandicapsMatos!$O$12=A339,1,0)</f>
        <v>0</v>
      </c>
      <c r="J339">
        <f>IF(AtoutsHandicapsMatos!$N$13=A339,1,0)</f>
        <v>0</v>
      </c>
      <c r="K339">
        <f>IF(AtoutsHandicapsMatos!$N$14=A339,1,0)</f>
        <v>0</v>
      </c>
      <c r="L339">
        <f>IF('Perso Reloaded'!$L$30=A339,1,0)</f>
        <v>0</v>
      </c>
      <c r="M339">
        <f>IF('Perso Reloaded'!$L$31=A339,1,0)</f>
        <v>0</v>
      </c>
      <c r="N339">
        <f>IF('Perso Reloaded'!$L$32=A339,1,0)</f>
        <v>0</v>
      </c>
      <c r="O339">
        <f>IF('Perso Reloaded'!$L$33=A339,1,0)</f>
        <v>0</v>
      </c>
      <c r="P339">
        <f>IF('Perso Reloaded'!$L$34=A339,1,0)</f>
        <v>0</v>
      </c>
      <c r="Q339">
        <f>IF('Perso Reloaded'!$L$35=A339,1,0)</f>
        <v>0</v>
      </c>
      <c r="R339">
        <f>IF('Perso Reloaded'!$L$36=A339,1,0)</f>
        <v>0</v>
      </c>
      <c r="S339">
        <f>IF('Perso Reloaded'!$L$37=A339,1,0)</f>
        <v>0</v>
      </c>
      <c r="T339">
        <f t="shared" si="20"/>
        <v>0</v>
      </c>
      <c r="U339" t="b">
        <f t="shared" si="19"/>
        <v>0</v>
      </c>
    </row>
    <row r="340" spans="1:21" x14ac:dyDescent="0.3">
      <c r="A340" s="65" t="s">
        <v>4793</v>
      </c>
      <c r="B340">
        <f>IF(AtoutsHandicapsMatos!$N$5=A340,1,0)</f>
        <v>0</v>
      </c>
      <c r="C340">
        <f>IF(AtoutsHandicapsMatos!$N$6=A340,1,0)</f>
        <v>0</v>
      </c>
      <c r="D340">
        <f>IF(AtoutsHandicapsMatos!$N$7=A340,1,0)</f>
        <v>0</v>
      </c>
      <c r="E340">
        <f>IF(AtoutsHandicapsMatos!$N$8=A340,1,0)</f>
        <v>0</v>
      </c>
      <c r="F340">
        <f>IF(AtoutsHandicapsMatos!$N$9=A340,1,0)</f>
        <v>0</v>
      </c>
      <c r="G340">
        <f>IF(AtoutsHandicapsMatos!$O$10=A340,1,0)</f>
        <v>0</v>
      </c>
      <c r="H340">
        <f>IF(AtoutsHandicapsMatos!$O$11=A340,1,0)</f>
        <v>0</v>
      </c>
      <c r="I340">
        <f>IF(AtoutsHandicapsMatos!$O$12=A340,1,0)</f>
        <v>0</v>
      </c>
      <c r="J340">
        <f>IF(AtoutsHandicapsMatos!$N$13=A340,1,0)</f>
        <v>0</v>
      </c>
      <c r="K340">
        <f>IF(AtoutsHandicapsMatos!$N$14=A340,1,0)</f>
        <v>0</v>
      </c>
      <c r="L340">
        <f>IF('Perso Reloaded'!$L$30=A340,1,0)</f>
        <v>0</v>
      </c>
      <c r="M340">
        <f>IF('Perso Reloaded'!$L$31=A340,1,0)</f>
        <v>0</v>
      </c>
      <c r="N340">
        <f>IF('Perso Reloaded'!$L$32=A340,1,0)</f>
        <v>0</v>
      </c>
      <c r="O340">
        <f>IF('Perso Reloaded'!$L$33=A340,1,0)</f>
        <v>0</v>
      </c>
      <c r="P340">
        <f>IF('Perso Reloaded'!$L$34=A340,1,0)</f>
        <v>0</v>
      </c>
      <c r="Q340">
        <f>IF('Perso Reloaded'!$L$35=A340,1,0)</f>
        <v>0</v>
      </c>
      <c r="R340">
        <f>IF('Perso Reloaded'!$L$36=A340,1,0)</f>
        <v>0</v>
      </c>
      <c r="S340">
        <f>IF('Perso Reloaded'!$L$37=A340,1,0)</f>
        <v>0</v>
      </c>
      <c r="T340">
        <f t="shared" ref="T340:T341" si="21">SUM(B340:S340)</f>
        <v>0</v>
      </c>
      <c r="U340" t="b">
        <f t="shared" ref="U340:U341" si="22">IF(T340=0,FALSE,TRUE)</f>
        <v>0</v>
      </c>
    </row>
    <row r="341" spans="1:21" x14ac:dyDescent="0.3">
      <c r="A341" s="65" t="s">
        <v>4794</v>
      </c>
      <c r="B341">
        <f>IF(AtoutsHandicapsMatos!$N$5=A341,1,0)</f>
        <v>0</v>
      </c>
      <c r="C341">
        <f>IF(AtoutsHandicapsMatos!$N$6=A341,1,0)</f>
        <v>0</v>
      </c>
      <c r="D341">
        <f>IF(AtoutsHandicapsMatos!$N$7=A341,1,0)</f>
        <v>0</v>
      </c>
      <c r="E341">
        <f>IF(AtoutsHandicapsMatos!$N$8=A341,1,0)</f>
        <v>0</v>
      </c>
      <c r="F341">
        <f>IF(AtoutsHandicapsMatos!$N$9=A341,1,0)</f>
        <v>0</v>
      </c>
      <c r="G341">
        <f>IF(AtoutsHandicapsMatos!$O$10=A341,1,0)</f>
        <v>0</v>
      </c>
      <c r="H341">
        <f>IF(AtoutsHandicapsMatos!$O$11=A341,1,0)</f>
        <v>0</v>
      </c>
      <c r="I341">
        <f>IF(AtoutsHandicapsMatos!$O$12=A341,1,0)</f>
        <v>0</v>
      </c>
      <c r="J341">
        <f>IF(AtoutsHandicapsMatos!$N$13=A341,1,0)</f>
        <v>0</v>
      </c>
      <c r="K341">
        <f>IF(AtoutsHandicapsMatos!$N$14=A341,1,0)</f>
        <v>0</v>
      </c>
      <c r="L341">
        <f>IF('Perso Reloaded'!$L$30=A341,1,0)</f>
        <v>0</v>
      </c>
      <c r="M341">
        <f>IF('Perso Reloaded'!$L$31=A341,1,0)</f>
        <v>0</v>
      </c>
      <c r="N341">
        <f>IF('Perso Reloaded'!$L$32=A341,1,0)</f>
        <v>0</v>
      </c>
      <c r="O341">
        <f>IF('Perso Reloaded'!$L$33=A341,1,0)</f>
        <v>0</v>
      </c>
      <c r="P341">
        <f>IF('Perso Reloaded'!$L$34=A341,1,0)</f>
        <v>0</v>
      </c>
      <c r="Q341">
        <f>IF('Perso Reloaded'!$L$35=A341,1,0)</f>
        <v>0</v>
      </c>
      <c r="R341">
        <f>IF('Perso Reloaded'!$L$36=A341,1,0)</f>
        <v>0</v>
      </c>
      <c r="S341">
        <f>IF('Perso Reloaded'!$L$37=A341,1,0)</f>
        <v>0</v>
      </c>
      <c r="T341">
        <f t="shared" si="21"/>
        <v>0</v>
      </c>
      <c r="U341" t="b">
        <f t="shared" si="22"/>
        <v>0</v>
      </c>
    </row>
    <row r="342" spans="1:21" x14ac:dyDescent="0.3">
      <c r="A342" s="65" t="s">
        <v>225</v>
      </c>
      <c r="B342">
        <f>IF(AtoutsHandicapsMatos!$N$5=A342,1,0)</f>
        <v>0</v>
      </c>
      <c r="C342">
        <f>IF(AtoutsHandicapsMatos!$N$6=A342,1,0)</f>
        <v>0</v>
      </c>
      <c r="D342">
        <f>IF(AtoutsHandicapsMatos!$N$7=A342,1,0)</f>
        <v>0</v>
      </c>
      <c r="E342">
        <f>IF(AtoutsHandicapsMatos!$N$8=A342,1,0)</f>
        <v>0</v>
      </c>
      <c r="F342">
        <f>IF(AtoutsHandicapsMatos!$N$9=A342,1,0)</f>
        <v>0</v>
      </c>
      <c r="G342">
        <f>IF(AtoutsHandicapsMatos!$O$10=A342,1,0)</f>
        <v>0</v>
      </c>
      <c r="H342">
        <f>IF(AtoutsHandicapsMatos!$O$11=A342,1,0)</f>
        <v>0</v>
      </c>
      <c r="I342">
        <f>IF(AtoutsHandicapsMatos!$O$12=A342,1,0)</f>
        <v>0</v>
      </c>
      <c r="J342">
        <f>IF(AtoutsHandicapsMatos!$N$13=A342,1,0)</f>
        <v>0</v>
      </c>
      <c r="K342">
        <f>IF(AtoutsHandicapsMatos!$N$14=A342,1,0)</f>
        <v>0</v>
      </c>
      <c r="L342">
        <f>IF('Perso Reloaded'!$L$30=A342,1,0)</f>
        <v>0</v>
      </c>
      <c r="M342">
        <f>IF('Perso Reloaded'!$L$31=A342,1,0)</f>
        <v>0</v>
      </c>
      <c r="N342">
        <f>IF('Perso Reloaded'!$L$32=A342,1,0)</f>
        <v>0</v>
      </c>
      <c r="O342">
        <f>IF('Perso Reloaded'!$L$33=A342,1,0)</f>
        <v>0</v>
      </c>
      <c r="P342">
        <f>IF('Perso Reloaded'!$L$34=A342,1,0)</f>
        <v>0</v>
      </c>
      <c r="Q342">
        <f>IF('Perso Reloaded'!$L$35=A342,1,0)</f>
        <v>0</v>
      </c>
      <c r="R342">
        <f>IF('Perso Reloaded'!$L$36=A342,1,0)</f>
        <v>0</v>
      </c>
      <c r="S342">
        <f>IF('Perso Reloaded'!$L$37=A342,1,0)</f>
        <v>0</v>
      </c>
      <c r="T342">
        <f t="shared" si="20"/>
        <v>0</v>
      </c>
      <c r="U342" t="b">
        <f t="shared" si="19"/>
        <v>0</v>
      </c>
    </row>
    <row r="343" spans="1:21" x14ac:dyDescent="0.3">
      <c r="A343" s="65" t="s">
        <v>222</v>
      </c>
      <c r="B343">
        <f>IF(AtoutsHandicapsMatos!$N$5=A343,1,0)</f>
        <v>0</v>
      </c>
      <c r="C343">
        <f>IF(AtoutsHandicapsMatos!$N$6=A343,1,0)</f>
        <v>0</v>
      </c>
      <c r="D343">
        <f>IF(AtoutsHandicapsMatos!$N$7=A343,1,0)</f>
        <v>0</v>
      </c>
      <c r="E343">
        <f>IF(AtoutsHandicapsMatos!$N$8=A343,1,0)</f>
        <v>0</v>
      </c>
      <c r="F343">
        <f>IF(AtoutsHandicapsMatos!$N$9=A343,1,0)</f>
        <v>0</v>
      </c>
      <c r="G343">
        <f>IF(AtoutsHandicapsMatos!$O$10=A343,1,0)</f>
        <v>0</v>
      </c>
      <c r="H343">
        <f>IF(AtoutsHandicapsMatos!$O$11=A343,1,0)</f>
        <v>0</v>
      </c>
      <c r="I343">
        <f>IF(AtoutsHandicapsMatos!$O$12=A343,1,0)</f>
        <v>0</v>
      </c>
      <c r="J343">
        <f>IF(AtoutsHandicapsMatos!$N$13=A343,1,0)</f>
        <v>0</v>
      </c>
      <c r="K343">
        <f>IF(AtoutsHandicapsMatos!$N$14=A343,1,0)</f>
        <v>0</v>
      </c>
      <c r="L343">
        <f>IF('Perso Reloaded'!$L$30=A343,1,0)</f>
        <v>0</v>
      </c>
      <c r="M343">
        <f>IF('Perso Reloaded'!$L$31=A343,1,0)</f>
        <v>0</v>
      </c>
      <c r="N343">
        <f>IF('Perso Reloaded'!$L$32=A343,1,0)</f>
        <v>0</v>
      </c>
      <c r="O343">
        <f>IF('Perso Reloaded'!$L$33=A343,1,0)</f>
        <v>0</v>
      </c>
      <c r="P343">
        <f>IF('Perso Reloaded'!$L$34=A343,1,0)</f>
        <v>0</v>
      </c>
      <c r="Q343">
        <f>IF('Perso Reloaded'!$L$35=A343,1,0)</f>
        <v>0</v>
      </c>
      <c r="R343">
        <f>IF('Perso Reloaded'!$L$36=A343,1,0)</f>
        <v>0</v>
      </c>
      <c r="S343">
        <f>IF('Perso Reloaded'!$L$37=A343,1,0)</f>
        <v>0</v>
      </c>
      <c r="T343">
        <f t="shared" si="20"/>
        <v>0</v>
      </c>
      <c r="U343" t="b">
        <f t="shared" si="19"/>
        <v>0</v>
      </c>
    </row>
    <row r="344" spans="1:21" x14ac:dyDescent="0.3">
      <c r="A344" s="65" t="s">
        <v>223</v>
      </c>
      <c r="B344">
        <f>IF(AtoutsHandicapsMatos!$N$5=A344,1,0)</f>
        <v>0</v>
      </c>
      <c r="C344">
        <f>IF(AtoutsHandicapsMatos!$N$6=A344,1,0)</f>
        <v>0</v>
      </c>
      <c r="D344">
        <f>IF(AtoutsHandicapsMatos!$N$7=A344,1,0)</f>
        <v>0</v>
      </c>
      <c r="E344">
        <f>IF(AtoutsHandicapsMatos!$N$8=A344,1,0)</f>
        <v>0</v>
      </c>
      <c r="F344">
        <f>IF(AtoutsHandicapsMatos!$N$9=A344,1,0)</f>
        <v>0</v>
      </c>
      <c r="G344">
        <f>IF(AtoutsHandicapsMatos!$O$10=A344,1,0)</f>
        <v>0</v>
      </c>
      <c r="H344">
        <f>IF(AtoutsHandicapsMatos!$O$11=A344,1,0)</f>
        <v>0</v>
      </c>
      <c r="I344">
        <f>IF(AtoutsHandicapsMatos!$O$12=A344,1,0)</f>
        <v>0</v>
      </c>
      <c r="J344">
        <f>IF(AtoutsHandicapsMatos!$N$13=A344,1,0)</f>
        <v>0</v>
      </c>
      <c r="K344">
        <f>IF(AtoutsHandicapsMatos!$N$14=A344,1,0)</f>
        <v>0</v>
      </c>
      <c r="L344">
        <f>IF('Perso Reloaded'!$L$30=A344,1,0)</f>
        <v>0</v>
      </c>
      <c r="M344">
        <f>IF('Perso Reloaded'!$L$31=A344,1,0)</f>
        <v>0</v>
      </c>
      <c r="N344">
        <f>IF('Perso Reloaded'!$L$32=A344,1,0)</f>
        <v>0</v>
      </c>
      <c r="O344">
        <f>IF('Perso Reloaded'!$L$33=A344,1,0)</f>
        <v>0</v>
      </c>
      <c r="P344">
        <f>IF('Perso Reloaded'!$L$34=A344,1,0)</f>
        <v>0</v>
      </c>
      <c r="Q344">
        <f>IF('Perso Reloaded'!$L$35=A344,1,0)</f>
        <v>0</v>
      </c>
      <c r="R344">
        <f>IF('Perso Reloaded'!$L$36=A344,1,0)</f>
        <v>0</v>
      </c>
      <c r="S344">
        <f>IF('Perso Reloaded'!$L$37=A344,1,0)</f>
        <v>0</v>
      </c>
      <c r="T344">
        <f t="shared" si="20"/>
        <v>0</v>
      </c>
      <c r="U344" t="b">
        <f t="shared" si="19"/>
        <v>0</v>
      </c>
    </row>
    <row r="345" spans="1:21" x14ac:dyDescent="0.3">
      <c r="A345" s="65" t="s">
        <v>224</v>
      </c>
      <c r="B345">
        <f>IF(AtoutsHandicapsMatos!$N$5=A345,1,0)</f>
        <v>0</v>
      </c>
      <c r="C345">
        <f>IF(AtoutsHandicapsMatos!$N$6=A345,1,0)</f>
        <v>0</v>
      </c>
      <c r="D345">
        <f>IF(AtoutsHandicapsMatos!$N$7=A345,1,0)</f>
        <v>0</v>
      </c>
      <c r="E345">
        <f>IF(AtoutsHandicapsMatos!$N$8=A345,1,0)</f>
        <v>0</v>
      </c>
      <c r="F345">
        <f>IF(AtoutsHandicapsMatos!$N$9=A345,1,0)</f>
        <v>0</v>
      </c>
      <c r="G345">
        <f>IF(AtoutsHandicapsMatos!$O$10=A345,1,0)</f>
        <v>0</v>
      </c>
      <c r="H345">
        <f>IF(AtoutsHandicapsMatos!$O$11=A345,1,0)</f>
        <v>0</v>
      </c>
      <c r="I345">
        <f>IF(AtoutsHandicapsMatos!$O$12=A345,1,0)</f>
        <v>0</v>
      </c>
      <c r="J345">
        <f>IF(AtoutsHandicapsMatos!$N$13=A345,1,0)</f>
        <v>0</v>
      </c>
      <c r="K345">
        <f>IF(AtoutsHandicapsMatos!$N$14=A345,1,0)</f>
        <v>0</v>
      </c>
      <c r="L345">
        <f>IF('Perso Reloaded'!$L$30=A345,1,0)</f>
        <v>0</v>
      </c>
      <c r="M345">
        <f>IF('Perso Reloaded'!$L$31=A345,1,0)</f>
        <v>0</v>
      </c>
      <c r="N345">
        <f>IF('Perso Reloaded'!$L$32=A345,1,0)</f>
        <v>0</v>
      </c>
      <c r="O345">
        <f>IF('Perso Reloaded'!$L$33=A345,1,0)</f>
        <v>0</v>
      </c>
      <c r="P345">
        <f>IF('Perso Reloaded'!$L$34=A345,1,0)</f>
        <v>0</v>
      </c>
      <c r="Q345">
        <f>IF('Perso Reloaded'!$L$35=A345,1,0)</f>
        <v>0</v>
      </c>
      <c r="R345">
        <f>IF('Perso Reloaded'!$L$36=A345,1,0)</f>
        <v>0</v>
      </c>
      <c r="S345">
        <f>IF('Perso Reloaded'!$L$37=A345,1,0)</f>
        <v>0</v>
      </c>
      <c r="T345">
        <f t="shared" si="20"/>
        <v>0</v>
      </c>
      <c r="U345" t="b">
        <f t="shared" si="19"/>
        <v>0</v>
      </c>
    </row>
    <row r="346" spans="1:21" x14ac:dyDescent="0.3">
      <c r="A346" s="65" t="s">
        <v>221</v>
      </c>
      <c r="B346">
        <f>IF(AtoutsHandicapsMatos!$N$5=A346,1,0)</f>
        <v>0</v>
      </c>
      <c r="C346">
        <f>IF(AtoutsHandicapsMatos!$N$6=A346,1,0)</f>
        <v>0</v>
      </c>
      <c r="D346">
        <f>IF(AtoutsHandicapsMatos!$N$7=A346,1,0)</f>
        <v>0</v>
      </c>
      <c r="E346">
        <f>IF(AtoutsHandicapsMatos!$N$8=A346,1,0)</f>
        <v>0</v>
      </c>
      <c r="F346">
        <f>IF(AtoutsHandicapsMatos!$N$9=A346,1,0)</f>
        <v>0</v>
      </c>
      <c r="G346">
        <f>IF(AtoutsHandicapsMatos!$O$10=A346,1,0)</f>
        <v>0</v>
      </c>
      <c r="H346">
        <f>IF(AtoutsHandicapsMatos!$O$11=A346,1,0)</f>
        <v>0</v>
      </c>
      <c r="I346">
        <f>IF(AtoutsHandicapsMatos!$O$12=A346,1,0)</f>
        <v>0</v>
      </c>
      <c r="J346">
        <f>IF(AtoutsHandicapsMatos!$N$13=A346,1,0)</f>
        <v>0</v>
      </c>
      <c r="K346">
        <f>IF(AtoutsHandicapsMatos!$N$14=A346,1,0)</f>
        <v>0</v>
      </c>
      <c r="L346">
        <f>IF('Perso Reloaded'!$L$30=A346,1,0)</f>
        <v>0</v>
      </c>
      <c r="M346">
        <f>IF('Perso Reloaded'!$L$31=A346,1,0)</f>
        <v>0</v>
      </c>
      <c r="N346">
        <f>IF('Perso Reloaded'!$L$32=A346,1,0)</f>
        <v>0</v>
      </c>
      <c r="O346">
        <f>IF('Perso Reloaded'!$L$33=A346,1,0)</f>
        <v>0</v>
      </c>
      <c r="P346">
        <f>IF('Perso Reloaded'!$L$34=A346,1,0)</f>
        <v>0</v>
      </c>
      <c r="Q346">
        <f>IF('Perso Reloaded'!$L$35=A346,1,0)</f>
        <v>0</v>
      </c>
      <c r="R346">
        <f>IF('Perso Reloaded'!$L$36=A346,1,0)</f>
        <v>0</v>
      </c>
      <c r="S346">
        <f>IF('Perso Reloaded'!$L$37=A346,1,0)</f>
        <v>0</v>
      </c>
      <c r="T346">
        <f t="shared" si="20"/>
        <v>0</v>
      </c>
      <c r="U346" t="b">
        <f t="shared" si="19"/>
        <v>0</v>
      </c>
    </row>
    <row r="347" spans="1:21" x14ac:dyDescent="0.3">
      <c r="A347" s="65" t="s">
        <v>3073</v>
      </c>
      <c r="B347">
        <f>IF(AtoutsHandicapsMatos!$N$5=A347,1,0)</f>
        <v>0</v>
      </c>
      <c r="C347">
        <f>IF(AtoutsHandicapsMatos!$N$6=A347,1,0)</f>
        <v>0</v>
      </c>
      <c r="D347">
        <f>IF(AtoutsHandicapsMatos!$N$7=A347,1,0)</f>
        <v>0</v>
      </c>
      <c r="E347">
        <f>IF(AtoutsHandicapsMatos!$N$8=A347,1,0)</f>
        <v>0</v>
      </c>
      <c r="F347">
        <f>IF(AtoutsHandicapsMatos!$N$9=A347,1,0)</f>
        <v>0</v>
      </c>
      <c r="G347">
        <f>IF(AtoutsHandicapsMatos!$O$10=A347,1,0)</f>
        <v>0</v>
      </c>
      <c r="H347">
        <f>IF(AtoutsHandicapsMatos!$O$11=A347,1,0)</f>
        <v>0</v>
      </c>
      <c r="I347">
        <f>IF(AtoutsHandicapsMatos!$O$12=A347,1,0)</f>
        <v>0</v>
      </c>
      <c r="J347">
        <f>IF(AtoutsHandicapsMatos!$N$13=A347,1,0)</f>
        <v>0</v>
      </c>
      <c r="K347">
        <f>IF(AtoutsHandicapsMatos!$N$14=A347,1,0)</f>
        <v>0</v>
      </c>
      <c r="L347">
        <f>IF('Perso Reloaded'!$L$30=A347,1,0)</f>
        <v>0</v>
      </c>
      <c r="M347">
        <f>IF('Perso Reloaded'!$L$31=A347,1,0)</f>
        <v>0</v>
      </c>
      <c r="N347">
        <f>IF('Perso Reloaded'!$L$32=A347,1,0)</f>
        <v>0</v>
      </c>
      <c r="O347">
        <f>IF('Perso Reloaded'!$L$33=A347,1,0)</f>
        <v>0</v>
      </c>
      <c r="P347">
        <f>IF('Perso Reloaded'!$L$34=A347,1,0)</f>
        <v>0</v>
      </c>
      <c r="Q347">
        <f>IF('Perso Reloaded'!$L$35=A347,1,0)</f>
        <v>0</v>
      </c>
      <c r="R347">
        <f>IF('Perso Reloaded'!$L$36=A347,1,0)</f>
        <v>0</v>
      </c>
      <c r="S347">
        <f>IF('Perso Reloaded'!$L$37=A347,1,0)</f>
        <v>0</v>
      </c>
      <c r="T347">
        <f t="shared" si="20"/>
        <v>0</v>
      </c>
      <c r="U347" t="b">
        <f t="shared" ref="U347" si="23">IF(T347=0,FALSE,TRUE)</f>
        <v>0</v>
      </c>
    </row>
    <row r="348" spans="1:21" x14ac:dyDescent="0.3">
      <c r="A348" s="65" t="s">
        <v>4906</v>
      </c>
      <c r="B348">
        <f>IF(AtoutsHandicapsMatos!$N$5=A348,1,0)</f>
        <v>0</v>
      </c>
      <c r="C348">
        <f>IF(AtoutsHandicapsMatos!$N$6=A348,1,0)</f>
        <v>0</v>
      </c>
      <c r="D348">
        <f>IF(AtoutsHandicapsMatos!$N$7=A348,1,0)</f>
        <v>0</v>
      </c>
      <c r="E348">
        <f>IF(AtoutsHandicapsMatos!$N$8=A348,1,0)</f>
        <v>0</v>
      </c>
      <c r="F348">
        <f>IF(AtoutsHandicapsMatos!$N$9=A348,1,0)</f>
        <v>0</v>
      </c>
      <c r="G348">
        <f>IF(AtoutsHandicapsMatos!$O$10=A348,1,0)</f>
        <v>0</v>
      </c>
      <c r="H348">
        <f>IF(AtoutsHandicapsMatos!$O$11=A348,1,0)</f>
        <v>0</v>
      </c>
      <c r="I348">
        <f>IF(AtoutsHandicapsMatos!$O$12=A348,1,0)</f>
        <v>0</v>
      </c>
      <c r="J348">
        <f>IF(AtoutsHandicapsMatos!$N$13=A348,1,0)</f>
        <v>0</v>
      </c>
      <c r="K348">
        <f>IF(AtoutsHandicapsMatos!$N$14=A348,1,0)</f>
        <v>0</v>
      </c>
      <c r="L348">
        <f>IF('Perso Reloaded'!$L$30=A348,1,0)</f>
        <v>0</v>
      </c>
      <c r="M348">
        <f>IF('Perso Reloaded'!$L$31=A348,1,0)</f>
        <v>0</v>
      </c>
      <c r="N348">
        <f>IF('Perso Reloaded'!$L$32=A348,1,0)</f>
        <v>0</v>
      </c>
      <c r="O348">
        <f>IF('Perso Reloaded'!$L$33=A348,1,0)</f>
        <v>0</v>
      </c>
      <c r="P348">
        <f>IF('Perso Reloaded'!$L$34=A348,1,0)</f>
        <v>0</v>
      </c>
      <c r="Q348">
        <f>IF('Perso Reloaded'!$L$35=A348,1,0)</f>
        <v>0</v>
      </c>
      <c r="R348">
        <f>IF('Perso Reloaded'!$L$36=A348,1,0)</f>
        <v>0</v>
      </c>
      <c r="S348">
        <f>IF('Perso Reloaded'!$L$37=A348,1,0)</f>
        <v>0</v>
      </c>
      <c r="T348">
        <f t="shared" ref="T348" si="24">SUM(B348:S348)</f>
        <v>0</v>
      </c>
      <c r="U348" t="b">
        <f t="shared" ref="U348" si="25">IF(T348=0,FALSE,TRUE)</f>
        <v>0</v>
      </c>
    </row>
    <row r="349" spans="1:21" x14ac:dyDescent="0.3">
      <c r="A349" s="65" t="s">
        <v>1406</v>
      </c>
      <c r="B349">
        <f>IF(AtoutsHandicapsMatos!$N$5=A349,1,0)</f>
        <v>0</v>
      </c>
      <c r="C349">
        <f>IF(AtoutsHandicapsMatos!$N$6=A349,1,0)</f>
        <v>0</v>
      </c>
      <c r="D349">
        <f>IF(AtoutsHandicapsMatos!$N$7=A349,1,0)</f>
        <v>0</v>
      </c>
      <c r="E349">
        <f>IF(AtoutsHandicapsMatos!$N$8=A349,1,0)</f>
        <v>0</v>
      </c>
      <c r="F349">
        <f>IF(AtoutsHandicapsMatos!$N$9=A349,1,0)</f>
        <v>0</v>
      </c>
      <c r="G349">
        <f>IF(AtoutsHandicapsMatos!$O$10=A349,1,0)</f>
        <v>0</v>
      </c>
      <c r="H349">
        <f>IF(AtoutsHandicapsMatos!$O$11=A349,1,0)</f>
        <v>0</v>
      </c>
      <c r="I349">
        <f>IF(AtoutsHandicapsMatos!$O$12=A349,1,0)</f>
        <v>0</v>
      </c>
      <c r="J349">
        <f>IF(AtoutsHandicapsMatos!$N$13=A349,1,0)</f>
        <v>0</v>
      </c>
      <c r="K349">
        <f>IF(AtoutsHandicapsMatos!$N$14=A349,1,0)</f>
        <v>0</v>
      </c>
      <c r="L349">
        <f>IF('Perso Reloaded'!$L$30=A349,1,0)</f>
        <v>0</v>
      </c>
      <c r="M349">
        <f>IF('Perso Reloaded'!$L$31=A349,1,0)</f>
        <v>0</v>
      </c>
      <c r="N349">
        <f>IF('Perso Reloaded'!$L$32=A349,1,0)</f>
        <v>0</v>
      </c>
      <c r="O349">
        <f>IF('Perso Reloaded'!$L$33=A349,1,0)</f>
        <v>0</v>
      </c>
      <c r="P349">
        <f>IF('Perso Reloaded'!$L$34=A349,1,0)</f>
        <v>0</v>
      </c>
      <c r="Q349">
        <f>IF('Perso Reloaded'!$L$35=A349,1,0)</f>
        <v>0</v>
      </c>
      <c r="R349">
        <f>IF('Perso Reloaded'!$L$36=A349,1,0)</f>
        <v>0</v>
      </c>
      <c r="S349">
        <f>IF('Perso Reloaded'!$L$37=A349,1,0)</f>
        <v>0</v>
      </c>
      <c r="T349">
        <f t="shared" si="20"/>
        <v>0</v>
      </c>
      <c r="U349" t="b">
        <f t="shared" si="19"/>
        <v>0</v>
      </c>
    </row>
    <row r="350" spans="1:21" x14ac:dyDescent="0.3">
      <c r="A350" s="65" t="s">
        <v>1527</v>
      </c>
      <c r="B350">
        <f>IF(AtoutsHandicapsMatos!$N$5=A350,1,0)</f>
        <v>0</v>
      </c>
      <c r="C350">
        <f>IF(AtoutsHandicapsMatos!$N$6=A350,1,0)</f>
        <v>0</v>
      </c>
      <c r="D350">
        <f>IF(AtoutsHandicapsMatos!$N$7=A350,1,0)</f>
        <v>0</v>
      </c>
      <c r="E350">
        <f>IF(AtoutsHandicapsMatos!$N$8=A350,1,0)</f>
        <v>0</v>
      </c>
      <c r="F350">
        <f>IF(AtoutsHandicapsMatos!$N$9=A350,1,0)</f>
        <v>0</v>
      </c>
      <c r="G350">
        <f>IF(AtoutsHandicapsMatos!$O$10=A350,1,0)</f>
        <v>0</v>
      </c>
      <c r="H350">
        <f>IF(AtoutsHandicapsMatos!$O$11=A350,1,0)</f>
        <v>0</v>
      </c>
      <c r="I350">
        <f>IF(AtoutsHandicapsMatos!$O$12=A350,1,0)</f>
        <v>0</v>
      </c>
      <c r="J350">
        <f>IF(AtoutsHandicapsMatos!$N$13=A350,1,0)</f>
        <v>0</v>
      </c>
      <c r="K350">
        <f>IF(AtoutsHandicapsMatos!$N$14=A350,1,0)</f>
        <v>0</v>
      </c>
      <c r="L350">
        <f>IF('Perso Reloaded'!$L$30=A350,1,0)</f>
        <v>0</v>
      </c>
      <c r="M350">
        <f>IF('Perso Reloaded'!$L$31=A350,1,0)</f>
        <v>0</v>
      </c>
      <c r="N350">
        <f>IF('Perso Reloaded'!$L$32=A350,1,0)</f>
        <v>0</v>
      </c>
      <c r="O350">
        <f>IF('Perso Reloaded'!$L$33=A350,1,0)</f>
        <v>0</v>
      </c>
      <c r="P350">
        <f>IF('Perso Reloaded'!$L$34=A350,1,0)</f>
        <v>0</v>
      </c>
      <c r="Q350">
        <f>IF('Perso Reloaded'!$L$35=A350,1,0)</f>
        <v>0</v>
      </c>
      <c r="R350">
        <f>IF('Perso Reloaded'!$L$36=A350,1,0)</f>
        <v>0</v>
      </c>
      <c r="S350">
        <f>IF('Perso Reloaded'!$L$37=A350,1,0)</f>
        <v>0</v>
      </c>
      <c r="T350">
        <f t="shared" si="20"/>
        <v>0</v>
      </c>
      <c r="U350" t="b">
        <f t="shared" si="19"/>
        <v>0</v>
      </c>
    </row>
    <row r="351" spans="1:21" x14ac:dyDescent="0.3">
      <c r="A351" s="65" t="s">
        <v>1528</v>
      </c>
      <c r="B351">
        <f>IF(AtoutsHandicapsMatos!$N$5=A351,1,0)</f>
        <v>0</v>
      </c>
      <c r="C351">
        <f>IF(AtoutsHandicapsMatos!$N$6=A351,1,0)</f>
        <v>0</v>
      </c>
      <c r="D351">
        <f>IF(AtoutsHandicapsMatos!$N$7=A351,1,0)</f>
        <v>0</v>
      </c>
      <c r="E351">
        <f>IF(AtoutsHandicapsMatos!$N$8=A351,1,0)</f>
        <v>0</v>
      </c>
      <c r="F351">
        <f>IF(AtoutsHandicapsMatos!$N$9=A351,1,0)</f>
        <v>0</v>
      </c>
      <c r="G351">
        <f>IF(AtoutsHandicapsMatos!$O$10=A351,1,0)</f>
        <v>0</v>
      </c>
      <c r="H351">
        <f>IF(AtoutsHandicapsMatos!$O$11=A351,1,0)</f>
        <v>0</v>
      </c>
      <c r="I351">
        <f>IF(AtoutsHandicapsMatos!$O$12=A351,1,0)</f>
        <v>0</v>
      </c>
      <c r="J351">
        <f>IF(AtoutsHandicapsMatos!$N$13=A351,1,0)</f>
        <v>0</v>
      </c>
      <c r="K351">
        <f>IF(AtoutsHandicapsMatos!$N$14=A351,1,0)</f>
        <v>0</v>
      </c>
      <c r="L351">
        <f>IF('Perso Reloaded'!$L$30=A351,1,0)</f>
        <v>0</v>
      </c>
      <c r="M351">
        <f>IF('Perso Reloaded'!$L$31=A351,1,0)</f>
        <v>0</v>
      </c>
      <c r="N351">
        <f>IF('Perso Reloaded'!$L$32=A351,1,0)</f>
        <v>0</v>
      </c>
      <c r="O351">
        <f>IF('Perso Reloaded'!$L$33=A351,1,0)</f>
        <v>0</v>
      </c>
      <c r="P351">
        <f>IF('Perso Reloaded'!$L$34=A351,1,0)</f>
        <v>0</v>
      </c>
      <c r="Q351">
        <f>IF('Perso Reloaded'!$L$35=A351,1,0)</f>
        <v>0</v>
      </c>
      <c r="R351">
        <f>IF('Perso Reloaded'!$L$36=A351,1,0)</f>
        <v>0</v>
      </c>
      <c r="S351">
        <f>IF('Perso Reloaded'!$L$37=A351,1,0)</f>
        <v>0</v>
      </c>
      <c r="T351">
        <f t="shared" si="20"/>
        <v>0</v>
      </c>
      <c r="U351" t="b">
        <f t="shared" si="19"/>
        <v>0</v>
      </c>
    </row>
    <row r="352" spans="1:21" x14ac:dyDescent="0.3">
      <c r="A352" s="65" t="s">
        <v>1529</v>
      </c>
      <c r="B352">
        <f>IF(AtoutsHandicapsMatos!$N$5=A352,1,0)</f>
        <v>0</v>
      </c>
      <c r="C352">
        <f>IF(AtoutsHandicapsMatos!$N$6=A352,1,0)</f>
        <v>0</v>
      </c>
      <c r="D352">
        <f>IF(AtoutsHandicapsMatos!$N$7=A352,1,0)</f>
        <v>0</v>
      </c>
      <c r="E352">
        <f>IF(AtoutsHandicapsMatos!$N$8=A352,1,0)</f>
        <v>0</v>
      </c>
      <c r="F352">
        <f>IF(AtoutsHandicapsMatos!$N$9=A352,1,0)</f>
        <v>0</v>
      </c>
      <c r="G352">
        <f>IF(AtoutsHandicapsMatos!$O$10=A352,1,0)</f>
        <v>0</v>
      </c>
      <c r="H352">
        <f>IF(AtoutsHandicapsMatos!$O$11=A352,1,0)</f>
        <v>0</v>
      </c>
      <c r="I352">
        <f>IF(AtoutsHandicapsMatos!$O$12=A352,1,0)</f>
        <v>0</v>
      </c>
      <c r="J352">
        <f>IF(AtoutsHandicapsMatos!$N$13=A352,1,0)</f>
        <v>0</v>
      </c>
      <c r="K352">
        <f>IF(AtoutsHandicapsMatos!$N$14=A352,1,0)</f>
        <v>0</v>
      </c>
      <c r="L352">
        <f>IF('Perso Reloaded'!$L$30=A352,1,0)</f>
        <v>0</v>
      </c>
      <c r="M352">
        <f>IF('Perso Reloaded'!$L$31=A352,1,0)</f>
        <v>0</v>
      </c>
      <c r="N352">
        <f>IF('Perso Reloaded'!$L$32=A352,1,0)</f>
        <v>0</v>
      </c>
      <c r="O352">
        <f>IF('Perso Reloaded'!$L$33=A352,1,0)</f>
        <v>0</v>
      </c>
      <c r="P352">
        <f>IF('Perso Reloaded'!$L$34=A352,1,0)</f>
        <v>0</v>
      </c>
      <c r="Q352">
        <f>IF('Perso Reloaded'!$L$35=A352,1,0)</f>
        <v>0</v>
      </c>
      <c r="R352">
        <f>IF('Perso Reloaded'!$L$36=A352,1,0)</f>
        <v>0</v>
      </c>
      <c r="S352">
        <f>IF('Perso Reloaded'!$L$37=A352,1,0)</f>
        <v>0</v>
      </c>
      <c r="T352">
        <f t="shared" si="20"/>
        <v>0</v>
      </c>
      <c r="U352" t="b">
        <f t="shared" si="19"/>
        <v>0</v>
      </c>
    </row>
    <row r="353" spans="1:21" x14ac:dyDescent="0.3">
      <c r="A353" s="65" t="s">
        <v>1530</v>
      </c>
      <c r="B353">
        <f>IF(AtoutsHandicapsMatos!$N$5=A353,1,0)</f>
        <v>0</v>
      </c>
      <c r="C353">
        <f>IF(AtoutsHandicapsMatos!$N$6=A353,1,0)</f>
        <v>0</v>
      </c>
      <c r="D353">
        <f>IF(AtoutsHandicapsMatos!$N$7=A353,1,0)</f>
        <v>0</v>
      </c>
      <c r="E353">
        <f>IF(AtoutsHandicapsMatos!$N$8=A353,1,0)</f>
        <v>0</v>
      </c>
      <c r="F353">
        <f>IF(AtoutsHandicapsMatos!$N$9=A353,1,0)</f>
        <v>0</v>
      </c>
      <c r="G353">
        <f>IF(AtoutsHandicapsMatos!$O$10=A353,1,0)</f>
        <v>0</v>
      </c>
      <c r="H353">
        <f>IF(AtoutsHandicapsMatos!$O$11=A353,1,0)</f>
        <v>0</v>
      </c>
      <c r="I353">
        <f>IF(AtoutsHandicapsMatos!$O$12=A353,1,0)</f>
        <v>0</v>
      </c>
      <c r="J353">
        <f>IF(AtoutsHandicapsMatos!$N$13=A353,1,0)</f>
        <v>0</v>
      </c>
      <c r="K353">
        <f>IF(AtoutsHandicapsMatos!$N$14=A353,1,0)</f>
        <v>0</v>
      </c>
      <c r="L353">
        <f>IF('Perso Reloaded'!$L$30=A353,1,0)</f>
        <v>0</v>
      </c>
      <c r="M353">
        <f>IF('Perso Reloaded'!$L$31=A353,1,0)</f>
        <v>0</v>
      </c>
      <c r="N353">
        <f>IF('Perso Reloaded'!$L$32=A353,1,0)</f>
        <v>0</v>
      </c>
      <c r="O353">
        <f>IF('Perso Reloaded'!$L$33=A353,1,0)</f>
        <v>0</v>
      </c>
      <c r="P353">
        <f>IF('Perso Reloaded'!$L$34=A353,1,0)</f>
        <v>0</v>
      </c>
      <c r="Q353">
        <f>IF('Perso Reloaded'!$L$35=A353,1,0)</f>
        <v>0</v>
      </c>
      <c r="R353">
        <f>IF('Perso Reloaded'!$L$36=A353,1,0)</f>
        <v>0</v>
      </c>
      <c r="S353">
        <f>IF('Perso Reloaded'!$L$37=A353,1,0)</f>
        <v>0</v>
      </c>
      <c r="T353">
        <f t="shared" si="20"/>
        <v>0</v>
      </c>
      <c r="U353" t="b">
        <f t="shared" si="19"/>
        <v>0</v>
      </c>
    </row>
    <row r="354" spans="1:21" x14ac:dyDescent="0.3">
      <c r="A354" s="65" t="s">
        <v>1531</v>
      </c>
      <c r="B354">
        <f>IF(AtoutsHandicapsMatos!$N$5=A354,1,0)</f>
        <v>0</v>
      </c>
      <c r="C354">
        <f>IF(AtoutsHandicapsMatos!$N$6=A354,1,0)</f>
        <v>0</v>
      </c>
      <c r="D354">
        <f>IF(AtoutsHandicapsMatos!$N$7=A354,1,0)</f>
        <v>0</v>
      </c>
      <c r="E354">
        <f>IF(AtoutsHandicapsMatos!$N$8=A354,1,0)</f>
        <v>0</v>
      </c>
      <c r="F354">
        <f>IF(AtoutsHandicapsMatos!$N$9=A354,1,0)</f>
        <v>0</v>
      </c>
      <c r="G354">
        <f>IF(AtoutsHandicapsMatos!$O$10=A354,1,0)</f>
        <v>0</v>
      </c>
      <c r="H354">
        <f>IF(AtoutsHandicapsMatos!$O$11=A354,1,0)</f>
        <v>0</v>
      </c>
      <c r="I354">
        <f>IF(AtoutsHandicapsMatos!$O$12=A354,1,0)</f>
        <v>0</v>
      </c>
      <c r="J354">
        <f>IF(AtoutsHandicapsMatos!$N$13=A354,1,0)</f>
        <v>0</v>
      </c>
      <c r="K354">
        <f>IF(AtoutsHandicapsMatos!$N$14=A354,1,0)</f>
        <v>0</v>
      </c>
      <c r="L354">
        <f>IF('Perso Reloaded'!$L$30=A354,1,0)</f>
        <v>0</v>
      </c>
      <c r="M354">
        <f>IF('Perso Reloaded'!$L$31=A354,1,0)</f>
        <v>0</v>
      </c>
      <c r="N354">
        <f>IF('Perso Reloaded'!$L$32=A354,1,0)</f>
        <v>0</v>
      </c>
      <c r="O354">
        <f>IF('Perso Reloaded'!$L$33=A354,1,0)</f>
        <v>0</v>
      </c>
      <c r="P354">
        <f>IF('Perso Reloaded'!$L$34=A354,1,0)</f>
        <v>0</v>
      </c>
      <c r="Q354">
        <f>IF('Perso Reloaded'!$L$35=A354,1,0)</f>
        <v>0</v>
      </c>
      <c r="R354">
        <f>IF('Perso Reloaded'!$L$36=A354,1,0)</f>
        <v>0</v>
      </c>
      <c r="S354">
        <f>IF('Perso Reloaded'!$L$37=A354,1,0)</f>
        <v>0</v>
      </c>
      <c r="T354">
        <f t="shared" si="20"/>
        <v>0</v>
      </c>
      <c r="U354" t="b">
        <f t="shared" si="19"/>
        <v>0</v>
      </c>
    </row>
    <row r="355" spans="1:21" x14ac:dyDescent="0.3">
      <c r="A355" s="65" t="str">
        <f>IF(OR(SexePerso="Féminin",'Perso Reloaded'!$C$6="Féminin"),"Balourde","Balourd")</f>
        <v>Balourd</v>
      </c>
      <c r="B355">
        <f>IF(AtoutsHandicapsMatos!$N$5=A355,1,0)</f>
        <v>0</v>
      </c>
      <c r="C355">
        <f>IF(AtoutsHandicapsMatos!$N$6=A355,1,0)</f>
        <v>0</v>
      </c>
      <c r="D355">
        <f>IF(AtoutsHandicapsMatos!$N$7=A355,1,0)</f>
        <v>0</v>
      </c>
      <c r="E355">
        <f>IF(AtoutsHandicapsMatos!$N$8=A355,1,0)</f>
        <v>0</v>
      </c>
      <c r="F355">
        <f>IF(AtoutsHandicapsMatos!$N$9=A355,1,0)</f>
        <v>0</v>
      </c>
      <c r="G355">
        <f>IF(AtoutsHandicapsMatos!$O$10=A355,1,0)</f>
        <v>0</v>
      </c>
      <c r="H355">
        <f>IF(AtoutsHandicapsMatos!$O$11=A355,1,0)</f>
        <v>0</v>
      </c>
      <c r="I355">
        <f>IF(AtoutsHandicapsMatos!$O$12=A355,1,0)</f>
        <v>0</v>
      </c>
      <c r="J355">
        <f>IF(AtoutsHandicapsMatos!$N$13=A355,1,0)</f>
        <v>0</v>
      </c>
      <c r="K355">
        <f>IF(AtoutsHandicapsMatos!$N$14=A355,1,0)</f>
        <v>0</v>
      </c>
      <c r="L355">
        <f>IF('Perso Reloaded'!$L$30=A355,1,0)</f>
        <v>0</v>
      </c>
      <c r="M355">
        <f>IF('Perso Reloaded'!$L$31=A355,1,0)</f>
        <v>0</v>
      </c>
      <c r="N355">
        <f>IF('Perso Reloaded'!$L$32=A355,1,0)</f>
        <v>0</v>
      </c>
      <c r="O355">
        <f>IF('Perso Reloaded'!$L$33=A355,1,0)</f>
        <v>0</v>
      </c>
      <c r="P355">
        <f>IF('Perso Reloaded'!$L$34=A355,1,0)</f>
        <v>0</v>
      </c>
      <c r="Q355">
        <f>IF('Perso Reloaded'!$L$35=A355,1,0)</f>
        <v>0</v>
      </c>
      <c r="R355">
        <f>IF('Perso Reloaded'!$L$36=A355,1,0)</f>
        <v>0</v>
      </c>
      <c r="S355">
        <f>IF('Perso Reloaded'!$L$37=A355,1,0)</f>
        <v>0</v>
      </c>
      <c r="T355">
        <f t="shared" si="20"/>
        <v>0</v>
      </c>
      <c r="U355" t="b">
        <f t="shared" si="19"/>
        <v>0</v>
      </c>
    </row>
    <row r="356" spans="1:21" x14ac:dyDescent="0.3">
      <c r="A356" s="65" t="str">
        <f>IF(OR(SexePerso="Féminin",'Perso Reloaded'!$C$6="Féminin"),"Bannie","Banni")</f>
        <v>Banni</v>
      </c>
      <c r="B356">
        <f>IF(AtoutsHandicapsMatos!$N$5=A356,1,0)</f>
        <v>0</v>
      </c>
      <c r="C356">
        <f>IF(AtoutsHandicapsMatos!$N$6=A356,1,0)</f>
        <v>0</v>
      </c>
      <c r="D356">
        <f>IF(AtoutsHandicapsMatos!$N$7=A356,1,0)</f>
        <v>0</v>
      </c>
      <c r="E356">
        <f>IF(AtoutsHandicapsMatos!$N$8=A356,1,0)</f>
        <v>0</v>
      </c>
      <c r="F356">
        <f>IF(AtoutsHandicapsMatos!$N$9=A356,1,0)</f>
        <v>0</v>
      </c>
      <c r="G356">
        <f>IF(AtoutsHandicapsMatos!$O$10=A356,1,0)</f>
        <v>0</v>
      </c>
      <c r="H356">
        <f>IF(AtoutsHandicapsMatos!$O$11=A356,1,0)</f>
        <v>0</v>
      </c>
      <c r="I356">
        <f>IF(AtoutsHandicapsMatos!$O$12=A356,1,0)</f>
        <v>0</v>
      </c>
      <c r="J356">
        <f>IF(AtoutsHandicapsMatos!$N$13=A356,1,0)</f>
        <v>0</v>
      </c>
      <c r="K356">
        <f>IF(AtoutsHandicapsMatos!$N$14=A356,1,0)</f>
        <v>0</v>
      </c>
      <c r="L356">
        <f>IF('Perso Reloaded'!$L$30=A356,1,0)</f>
        <v>0</v>
      </c>
      <c r="M356">
        <f>IF('Perso Reloaded'!$L$31=A356,1,0)</f>
        <v>0</v>
      </c>
      <c r="N356">
        <f>IF('Perso Reloaded'!$L$32=A356,1,0)</f>
        <v>0</v>
      </c>
      <c r="O356">
        <f>IF('Perso Reloaded'!$L$33=A356,1,0)</f>
        <v>0</v>
      </c>
      <c r="P356">
        <f>IF('Perso Reloaded'!$L$34=A356,1,0)</f>
        <v>0</v>
      </c>
      <c r="Q356">
        <f>IF('Perso Reloaded'!$L$35=A356,1,0)</f>
        <v>0</v>
      </c>
      <c r="R356">
        <f>IF('Perso Reloaded'!$L$36=A356,1,0)</f>
        <v>0</v>
      </c>
      <c r="S356">
        <f>IF('Perso Reloaded'!$L$37=A356,1,0)</f>
        <v>0</v>
      </c>
      <c r="T356">
        <f t="shared" si="20"/>
        <v>0</v>
      </c>
      <c r="U356" t="b">
        <f t="shared" si="19"/>
        <v>0</v>
      </c>
    </row>
    <row r="357" spans="1:21" x14ac:dyDescent="0.3">
      <c r="A357" s="65" t="str">
        <f>IF(OR(SexePerso="Féminin",'Perso Reloaded'!$C$6="Féminin"),"Bigleuse (myope)","Bigleux (myope)")</f>
        <v>Bigleux (myope)</v>
      </c>
      <c r="B357">
        <f>IF(AtoutsHandicapsMatos!$N$5=A357,1,0)</f>
        <v>0</v>
      </c>
      <c r="C357">
        <f>IF(AtoutsHandicapsMatos!$N$6=A357,1,0)</f>
        <v>0</v>
      </c>
      <c r="D357">
        <f>IF(AtoutsHandicapsMatos!$N$7=A357,1,0)</f>
        <v>0</v>
      </c>
      <c r="E357">
        <f>IF(AtoutsHandicapsMatos!$N$8=A357,1,0)</f>
        <v>0</v>
      </c>
      <c r="F357">
        <f>IF(AtoutsHandicapsMatos!$N$9=A357,1,0)</f>
        <v>0</v>
      </c>
      <c r="G357">
        <f>IF(AtoutsHandicapsMatos!$O$10=A357,1,0)</f>
        <v>0</v>
      </c>
      <c r="H357">
        <f>IF(AtoutsHandicapsMatos!$O$11=A357,1,0)</f>
        <v>0</v>
      </c>
      <c r="I357">
        <f>IF(AtoutsHandicapsMatos!$O$12=A357,1,0)</f>
        <v>0</v>
      </c>
      <c r="J357">
        <f>IF(AtoutsHandicapsMatos!$N$13=A357,1,0)</f>
        <v>0</v>
      </c>
      <c r="K357">
        <f>IF(AtoutsHandicapsMatos!$N$14=A357,1,0)</f>
        <v>0</v>
      </c>
      <c r="L357">
        <f>IF('Perso Reloaded'!$L$30=A357,1,0)</f>
        <v>0</v>
      </c>
      <c r="M357">
        <f>IF('Perso Reloaded'!$L$31=A357,1,0)</f>
        <v>0</v>
      </c>
      <c r="N357">
        <f>IF('Perso Reloaded'!$L$32=A357,1,0)</f>
        <v>0</v>
      </c>
      <c r="O357">
        <f>IF('Perso Reloaded'!$L$33=A357,1,0)</f>
        <v>0</v>
      </c>
      <c r="P357">
        <f>IF('Perso Reloaded'!$L$34=A357,1,0)</f>
        <v>0</v>
      </c>
      <c r="Q357">
        <f>IF('Perso Reloaded'!$L$35=A357,1,0)</f>
        <v>0</v>
      </c>
      <c r="R357">
        <f>IF('Perso Reloaded'!$L$36=A357,1,0)</f>
        <v>0</v>
      </c>
      <c r="S357">
        <f>IF('Perso Reloaded'!$L$37=A357,1,0)</f>
        <v>0</v>
      </c>
      <c r="T357">
        <f t="shared" si="20"/>
        <v>0</v>
      </c>
      <c r="U357" t="b">
        <f t="shared" si="19"/>
        <v>0</v>
      </c>
    </row>
    <row r="358" spans="1:21" x14ac:dyDescent="0.3">
      <c r="A358" s="65" t="str">
        <f>IF(OR(SexePerso="Féminin",'Perso Reloaded'!$C$6="Féminin"),"Bigleuse (borgne)","Bigleux (borgne)")</f>
        <v>Bigleux (borgne)</v>
      </c>
      <c r="B358">
        <f>IF(AtoutsHandicapsMatos!$N$5=A358,1,0)</f>
        <v>0</v>
      </c>
      <c r="C358">
        <f>IF(AtoutsHandicapsMatos!$N$6=A358,1,0)</f>
        <v>0</v>
      </c>
      <c r="D358">
        <f>IF(AtoutsHandicapsMatos!$N$7=A358,1,0)</f>
        <v>0</v>
      </c>
      <c r="E358">
        <f>IF(AtoutsHandicapsMatos!$N$8=A358,1,0)</f>
        <v>0</v>
      </c>
      <c r="F358">
        <f>IF(AtoutsHandicapsMatos!$N$9=A358,1,0)</f>
        <v>0</v>
      </c>
      <c r="G358">
        <f>IF(AtoutsHandicapsMatos!$O$10=A358,1,0)</f>
        <v>0</v>
      </c>
      <c r="H358">
        <f>IF(AtoutsHandicapsMatos!$O$11=A358,1,0)</f>
        <v>0</v>
      </c>
      <c r="I358">
        <f>IF(AtoutsHandicapsMatos!$O$12=A358,1,0)</f>
        <v>0</v>
      </c>
      <c r="J358">
        <f>IF(AtoutsHandicapsMatos!$N$13=A358,1,0)</f>
        <v>0</v>
      </c>
      <c r="K358">
        <f>IF(AtoutsHandicapsMatos!$N$14=A358,1,0)</f>
        <v>0</v>
      </c>
      <c r="L358">
        <f>IF('Perso Reloaded'!$L$30=A358,1,0)</f>
        <v>0</v>
      </c>
      <c r="M358">
        <f>IF('Perso Reloaded'!$L$31=A358,1,0)</f>
        <v>0</v>
      </c>
      <c r="N358">
        <f>IF('Perso Reloaded'!$L$32=A358,1,0)</f>
        <v>0</v>
      </c>
      <c r="O358">
        <f>IF('Perso Reloaded'!$L$33=A358,1,0)</f>
        <v>0</v>
      </c>
      <c r="P358">
        <f>IF('Perso Reloaded'!$L$34=A358,1,0)</f>
        <v>0</v>
      </c>
      <c r="Q358">
        <f>IF('Perso Reloaded'!$L$35=A358,1,0)</f>
        <v>0</v>
      </c>
      <c r="R358">
        <f>IF('Perso Reloaded'!$L$36=A358,1,0)</f>
        <v>0</v>
      </c>
      <c r="S358">
        <f>IF('Perso Reloaded'!$L$37=A358,1,0)</f>
        <v>0</v>
      </c>
      <c r="T358">
        <f t="shared" si="20"/>
        <v>0</v>
      </c>
      <c r="U358" t="b">
        <f t="shared" ref="U358" si="26">IF(T358=0,FALSE,TRUE)</f>
        <v>0</v>
      </c>
    </row>
    <row r="359" spans="1:21" x14ac:dyDescent="0.3">
      <c r="A359" s="65" t="str">
        <f>IF(OR(SexePerso="Féminin",'Perso Reloaded'!$C$6="Féminin"),"Bigleuse (presque aveugle)","Bigleux (presque aveugle)")</f>
        <v>Bigleux (presque aveugle)</v>
      </c>
      <c r="B359">
        <f>IF(AtoutsHandicapsMatos!$N$5=A359,1,0)</f>
        <v>0</v>
      </c>
      <c r="C359">
        <f>IF(AtoutsHandicapsMatos!$N$6=A359,1,0)</f>
        <v>0</v>
      </c>
      <c r="D359">
        <f>IF(AtoutsHandicapsMatos!$N$7=A359,1,0)</f>
        <v>0</v>
      </c>
      <c r="E359">
        <f>IF(AtoutsHandicapsMatos!$N$8=A359,1,0)</f>
        <v>0</v>
      </c>
      <c r="F359">
        <f>IF(AtoutsHandicapsMatos!$N$9=A359,1,0)</f>
        <v>0</v>
      </c>
      <c r="G359">
        <f>IF(AtoutsHandicapsMatos!$O$10=A359,1,0)</f>
        <v>0</v>
      </c>
      <c r="H359">
        <f>IF(AtoutsHandicapsMatos!$O$11=A359,1,0)</f>
        <v>0</v>
      </c>
      <c r="I359">
        <f>IF(AtoutsHandicapsMatos!$O$12=A359,1,0)</f>
        <v>0</v>
      </c>
      <c r="J359">
        <f>IF(AtoutsHandicapsMatos!$N$13=A359,1,0)</f>
        <v>0</v>
      </c>
      <c r="K359">
        <f>IF(AtoutsHandicapsMatos!$N$14=A359,1,0)</f>
        <v>0</v>
      </c>
      <c r="L359">
        <f>IF('Perso Reloaded'!$L$30=A359,1,0)</f>
        <v>0</v>
      </c>
      <c r="M359">
        <f>IF('Perso Reloaded'!$L$31=A359,1,0)</f>
        <v>0</v>
      </c>
      <c r="N359">
        <f>IF('Perso Reloaded'!$L$32=A359,1,0)</f>
        <v>0</v>
      </c>
      <c r="O359">
        <f>IF('Perso Reloaded'!$L$33=A359,1,0)</f>
        <v>0</v>
      </c>
      <c r="P359">
        <f>IF('Perso Reloaded'!$L$34=A359,1,0)</f>
        <v>0</v>
      </c>
      <c r="Q359">
        <f>IF('Perso Reloaded'!$L$35=A359,1,0)</f>
        <v>0</v>
      </c>
      <c r="R359">
        <f>IF('Perso Reloaded'!$L$36=A359,1,0)</f>
        <v>0</v>
      </c>
      <c r="S359">
        <f>IF('Perso Reloaded'!$L$37=A359,1,0)</f>
        <v>0</v>
      </c>
      <c r="T359">
        <f t="shared" si="20"/>
        <v>0</v>
      </c>
      <c r="U359" t="b">
        <f t="shared" si="19"/>
        <v>0</v>
      </c>
    </row>
    <row r="360" spans="1:21" x14ac:dyDescent="0.3">
      <c r="A360" s="65" t="str">
        <f>IF(OR(SexePerso="Féminin",'Perso Reloaded'!$C$6="Féminin"),"Boiteuse (claudiquement)","Boiteux (claudiquement)")</f>
        <v>Boiteux (claudiquement)</v>
      </c>
      <c r="B360">
        <f>IF(AtoutsHandicapsMatos!$N$5=A360,1,0)</f>
        <v>0</v>
      </c>
      <c r="C360">
        <f>IF(AtoutsHandicapsMatos!$N$6=A360,1,0)</f>
        <v>0</v>
      </c>
      <c r="D360">
        <f>IF(AtoutsHandicapsMatos!$N$7=A360,1,0)</f>
        <v>0</v>
      </c>
      <c r="E360">
        <f>IF(AtoutsHandicapsMatos!$N$8=A360,1,0)</f>
        <v>0</v>
      </c>
      <c r="F360">
        <f>IF(AtoutsHandicapsMatos!$N$9=A360,1,0)</f>
        <v>0</v>
      </c>
      <c r="G360">
        <f>IF(AtoutsHandicapsMatos!$O$10=A360,1,0)</f>
        <v>0</v>
      </c>
      <c r="H360">
        <f>IF(AtoutsHandicapsMatos!$O$11=A360,1,0)</f>
        <v>0</v>
      </c>
      <c r="I360">
        <f>IF(AtoutsHandicapsMatos!$O$12=A360,1,0)</f>
        <v>0</v>
      </c>
      <c r="J360">
        <f>IF(AtoutsHandicapsMatos!$N$13=A360,1,0)</f>
        <v>0</v>
      </c>
      <c r="K360">
        <f>IF(AtoutsHandicapsMatos!$N$14=A360,1,0)</f>
        <v>0</v>
      </c>
      <c r="L360">
        <f>IF('Perso Reloaded'!$L$30=A360,1,0)</f>
        <v>0</v>
      </c>
      <c r="M360">
        <f>IF('Perso Reloaded'!$L$31=A360,1,0)</f>
        <v>0</v>
      </c>
      <c r="N360">
        <f>IF('Perso Reloaded'!$L$32=A360,1,0)</f>
        <v>0</v>
      </c>
      <c r="O360">
        <f>IF('Perso Reloaded'!$L$33=A360,1,0)</f>
        <v>0</v>
      </c>
      <c r="P360">
        <f>IF('Perso Reloaded'!$L$34=A360,1,0)</f>
        <v>0</v>
      </c>
      <c r="Q360">
        <f>IF('Perso Reloaded'!$L$35=A360,1,0)</f>
        <v>0</v>
      </c>
      <c r="R360">
        <f>IF('Perso Reloaded'!$L$36=A360,1,0)</f>
        <v>0</v>
      </c>
      <c r="S360">
        <f>IF('Perso Reloaded'!$L$37=A360,1,0)</f>
        <v>0</v>
      </c>
      <c r="T360">
        <f t="shared" si="20"/>
        <v>0</v>
      </c>
      <c r="U360" t="b">
        <f t="shared" si="19"/>
        <v>0</v>
      </c>
    </row>
    <row r="361" spans="1:21" x14ac:dyDescent="0.3">
      <c r="A361" s="65" t="str">
        <f>IF(OR(SexePerso="Féminin",'Perso Reloaded'!$C$6="Féminin"),"Boiteuse (mutilation)/Unijambiste","Boiteuse (mutilation)/Unijambiste")</f>
        <v>Boiteuse (mutilation)/Unijambiste</v>
      </c>
      <c r="B361">
        <f>IF(AtoutsHandicapsMatos!$N$5=A361,1,0)</f>
        <v>0</v>
      </c>
      <c r="C361">
        <f>IF(AtoutsHandicapsMatos!$N$6=A361,1,0)</f>
        <v>0</v>
      </c>
      <c r="D361">
        <f>IF(AtoutsHandicapsMatos!$N$7=A361,1,0)</f>
        <v>0</v>
      </c>
      <c r="E361">
        <f>IF(AtoutsHandicapsMatos!$N$8=A361,1,0)</f>
        <v>0</v>
      </c>
      <c r="F361">
        <f>IF(AtoutsHandicapsMatos!$N$9=A361,1,0)</f>
        <v>0</v>
      </c>
      <c r="G361">
        <f>IF(AtoutsHandicapsMatos!$O$10=A361,1,0)</f>
        <v>0</v>
      </c>
      <c r="H361">
        <f>IF(AtoutsHandicapsMatos!$O$11=A361,1,0)</f>
        <v>0</v>
      </c>
      <c r="I361">
        <f>IF(AtoutsHandicapsMatos!$O$12=A361,1,0)</f>
        <v>0</v>
      </c>
      <c r="J361">
        <f>IF(AtoutsHandicapsMatos!$N$13=A361,1,0)</f>
        <v>0</v>
      </c>
      <c r="K361">
        <f>IF(AtoutsHandicapsMatos!$N$14=A361,1,0)</f>
        <v>0</v>
      </c>
      <c r="L361">
        <f>IF('Perso Reloaded'!$L$30=A361,1,0)</f>
        <v>0</v>
      </c>
      <c r="M361">
        <f>IF('Perso Reloaded'!$L$31=A361,1,0)</f>
        <v>0</v>
      </c>
      <c r="N361">
        <f>IF('Perso Reloaded'!$L$32=A361,1,0)</f>
        <v>0</v>
      </c>
      <c r="O361">
        <f>IF('Perso Reloaded'!$L$33=A361,1,0)</f>
        <v>0</v>
      </c>
      <c r="P361">
        <f>IF('Perso Reloaded'!$L$34=A361,1,0)</f>
        <v>0</v>
      </c>
      <c r="Q361">
        <f>IF('Perso Reloaded'!$L$35=A361,1,0)</f>
        <v>0</v>
      </c>
      <c r="R361">
        <f>IF('Perso Reloaded'!$L$36=A361,1,0)</f>
        <v>0</v>
      </c>
      <c r="S361">
        <f>IF('Perso Reloaded'!$L$37=A361,1,0)</f>
        <v>0</v>
      </c>
      <c r="T361">
        <f t="shared" si="20"/>
        <v>0</v>
      </c>
      <c r="U361" t="b">
        <f t="shared" si="19"/>
        <v>0</v>
      </c>
    </row>
    <row r="362" spans="1:21" x14ac:dyDescent="0.3">
      <c r="A362" s="65" t="str">
        <f>IF(OR(SexePerso="Féminin",'Perso Reloaded'!$C$6="Féminin"),"Ca va les chevilles?/Présomptueuse","Ca va les chevilles?/Présomptueux")</f>
        <v>Ca va les chevilles?/Présomptueux</v>
      </c>
      <c r="B362">
        <f>IF(AtoutsHandicapsMatos!$N$5=A362,1,0)</f>
        <v>0</v>
      </c>
      <c r="C362">
        <f>IF(AtoutsHandicapsMatos!$N$6=A362,1,0)</f>
        <v>0</v>
      </c>
      <c r="D362">
        <f>IF(AtoutsHandicapsMatos!$N$7=A362,1,0)</f>
        <v>0</v>
      </c>
      <c r="E362">
        <f>IF(AtoutsHandicapsMatos!$N$8=A362,1,0)</f>
        <v>0</v>
      </c>
      <c r="F362">
        <f>IF(AtoutsHandicapsMatos!$N$9=A362,1,0)</f>
        <v>0</v>
      </c>
      <c r="G362">
        <f>IF(AtoutsHandicapsMatos!$O$10=A362,1,0)</f>
        <v>0</v>
      </c>
      <c r="H362">
        <f>IF(AtoutsHandicapsMatos!$O$11=A362,1,0)</f>
        <v>0</v>
      </c>
      <c r="I362">
        <f>IF(AtoutsHandicapsMatos!$O$12=A362,1,0)</f>
        <v>0</v>
      </c>
      <c r="J362">
        <f>IF(AtoutsHandicapsMatos!$N$13=A362,1,0)</f>
        <v>0</v>
      </c>
      <c r="K362">
        <f>IF(AtoutsHandicapsMatos!$N$14=A362,1,0)</f>
        <v>0</v>
      </c>
      <c r="L362">
        <f>IF('Perso Reloaded'!$L$30=A362,1,0)</f>
        <v>0</v>
      </c>
      <c r="M362">
        <f>IF('Perso Reloaded'!$L$31=A362,1,0)</f>
        <v>0</v>
      </c>
      <c r="N362">
        <f>IF('Perso Reloaded'!$L$32=A362,1,0)</f>
        <v>0</v>
      </c>
      <c r="O362">
        <f>IF('Perso Reloaded'!$L$33=A362,1,0)</f>
        <v>0</v>
      </c>
      <c r="P362">
        <f>IF('Perso Reloaded'!$L$34=A362,1,0)</f>
        <v>0</v>
      </c>
      <c r="Q362">
        <f>IF('Perso Reloaded'!$L$35=A362,1,0)</f>
        <v>0</v>
      </c>
      <c r="R362">
        <f>IF('Perso Reloaded'!$L$36=A362,1,0)</f>
        <v>0</v>
      </c>
      <c r="S362">
        <f>IF('Perso Reloaded'!$L$37=A362,1,0)</f>
        <v>0</v>
      </c>
      <c r="T362">
        <f t="shared" si="20"/>
        <v>0</v>
      </c>
      <c r="U362" t="b">
        <f t="shared" si="19"/>
        <v>0</v>
      </c>
    </row>
    <row r="363" spans="1:21" x14ac:dyDescent="0.3">
      <c r="A363" s="65" t="str">
        <f>IF(OR(SexePerso="Féminin",'Perso Reloaded'!$C$6="Féminin"),"Débauchée Lubrique","Chaud Lapin")</f>
        <v>Chaud Lapin</v>
      </c>
      <c r="B363">
        <f>IF(AtoutsHandicapsMatos!$N$5=A363,1,0)</f>
        <v>0</v>
      </c>
      <c r="C363">
        <f>IF(AtoutsHandicapsMatos!$N$6=A363,1,0)</f>
        <v>0</v>
      </c>
      <c r="D363">
        <f>IF(AtoutsHandicapsMatos!$N$7=A363,1,0)</f>
        <v>0</v>
      </c>
      <c r="E363">
        <f>IF(AtoutsHandicapsMatos!$N$8=A363,1,0)</f>
        <v>0</v>
      </c>
      <c r="F363">
        <f>IF(AtoutsHandicapsMatos!$N$9=A363,1,0)</f>
        <v>0</v>
      </c>
      <c r="G363">
        <f>IF(AtoutsHandicapsMatos!$O$10=A363,1,0)</f>
        <v>0</v>
      </c>
      <c r="H363">
        <f>IF(AtoutsHandicapsMatos!$O$11=A363,1,0)</f>
        <v>0</v>
      </c>
      <c r="I363">
        <f>IF(AtoutsHandicapsMatos!$O$12=A363,1,0)</f>
        <v>0</v>
      </c>
      <c r="J363">
        <f>IF(AtoutsHandicapsMatos!$N$13=A363,1,0)</f>
        <v>0</v>
      </c>
      <c r="K363">
        <f>IF(AtoutsHandicapsMatos!$N$14=A363,1,0)</f>
        <v>0</v>
      </c>
      <c r="L363">
        <f>IF('Perso Reloaded'!$L$30=A363,1,0)</f>
        <v>0</v>
      </c>
      <c r="M363">
        <f>IF('Perso Reloaded'!$L$31=A363,1,0)</f>
        <v>0</v>
      </c>
      <c r="N363">
        <f>IF('Perso Reloaded'!$L$32=A363,1,0)</f>
        <v>0</v>
      </c>
      <c r="O363">
        <f>IF('Perso Reloaded'!$L$33=A363,1,0)</f>
        <v>0</v>
      </c>
      <c r="P363">
        <f>IF('Perso Reloaded'!$L$34=A363,1,0)</f>
        <v>0</v>
      </c>
      <c r="Q363">
        <f>IF('Perso Reloaded'!$L$35=A363,1,0)</f>
        <v>0</v>
      </c>
      <c r="R363">
        <f>IF('Perso Reloaded'!$L$36=A363,1,0)</f>
        <v>0</v>
      </c>
      <c r="S363">
        <f>IF('Perso Reloaded'!$L$37=A363,1,0)</f>
        <v>0</v>
      </c>
      <c r="T363">
        <f t="shared" si="20"/>
        <v>0</v>
      </c>
      <c r="U363" t="b">
        <f t="shared" si="19"/>
        <v>0</v>
      </c>
    </row>
    <row r="364" spans="1:21" x14ac:dyDescent="0.3">
      <c r="A364" s="65" t="s">
        <v>3088</v>
      </c>
      <c r="B364">
        <f>IF(AtoutsHandicapsMatos!$N$5=A364,1,0)</f>
        <v>0</v>
      </c>
      <c r="C364">
        <f>IF(AtoutsHandicapsMatos!$N$6=A364,1,0)</f>
        <v>0</v>
      </c>
      <c r="D364">
        <f>IF(AtoutsHandicapsMatos!$N$7=A364,1,0)</f>
        <v>0</v>
      </c>
      <c r="E364">
        <f>IF(AtoutsHandicapsMatos!$N$8=A364,1,0)</f>
        <v>0</v>
      </c>
      <c r="F364">
        <f>IF(AtoutsHandicapsMatos!$N$9=A364,1,0)</f>
        <v>0</v>
      </c>
      <c r="G364">
        <f>IF(AtoutsHandicapsMatos!$O$10=A364,1,0)</f>
        <v>0</v>
      </c>
      <c r="H364">
        <f>IF(AtoutsHandicapsMatos!$O$11=A364,1,0)</f>
        <v>0</v>
      </c>
      <c r="I364">
        <f>IF(AtoutsHandicapsMatos!$O$12=A364,1,0)</f>
        <v>0</v>
      </c>
      <c r="J364">
        <f>IF(AtoutsHandicapsMatos!$N$13=A364,1,0)</f>
        <v>0</v>
      </c>
      <c r="K364">
        <f>IF(AtoutsHandicapsMatos!$N$14=A364,1,0)</f>
        <v>0</v>
      </c>
      <c r="L364">
        <f>IF('Perso Reloaded'!$L$30=A364,1,0)</f>
        <v>0</v>
      </c>
      <c r="M364">
        <f>IF('Perso Reloaded'!$L$31=A364,1,0)</f>
        <v>0</v>
      </c>
      <c r="N364">
        <f>IF('Perso Reloaded'!$L$32=A364,1,0)</f>
        <v>0</v>
      </c>
      <c r="O364">
        <f>IF('Perso Reloaded'!$L$33=A364,1,0)</f>
        <v>0</v>
      </c>
      <c r="P364">
        <f>IF('Perso Reloaded'!$L$34=A364,1,0)</f>
        <v>0</v>
      </c>
      <c r="Q364">
        <f>IF('Perso Reloaded'!$L$35=A364,1,0)</f>
        <v>0</v>
      </c>
      <c r="R364">
        <f>IF('Perso Reloaded'!$L$36=A364,1,0)</f>
        <v>0</v>
      </c>
      <c r="S364">
        <f>IF('Perso Reloaded'!$L$37=A364,1,0)</f>
        <v>0</v>
      </c>
      <c r="T364">
        <f t="shared" ref="T364:T365" si="27">SUM(B364:S364)</f>
        <v>0</v>
      </c>
      <c r="U364" t="b">
        <f t="shared" si="19"/>
        <v>0</v>
      </c>
    </row>
    <row r="365" spans="1:21" x14ac:dyDescent="0.3">
      <c r="A365" s="65" t="s">
        <v>3089</v>
      </c>
      <c r="B365">
        <f>IF(AtoutsHandicapsMatos!$N$5=A365,1,0)</f>
        <v>0</v>
      </c>
      <c r="C365">
        <f>IF(AtoutsHandicapsMatos!$N$6=A365,1,0)</f>
        <v>0</v>
      </c>
      <c r="D365">
        <f>IF(AtoutsHandicapsMatos!$N$7=A365,1,0)</f>
        <v>0</v>
      </c>
      <c r="E365">
        <f>IF(AtoutsHandicapsMatos!$N$8=A365,1,0)</f>
        <v>0</v>
      </c>
      <c r="F365">
        <f>IF(AtoutsHandicapsMatos!$N$9=A365,1,0)</f>
        <v>0</v>
      </c>
      <c r="G365">
        <f>IF(AtoutsHandicapsMatos!$O$10=A365,1,0)</f>
        <v>0</v>
      </c>
      <c r="H365">
        <f>IF(AtoutsHandicapsMatos!$O$11=A365,1,0)</f>
        <v>0</v>
      </c>
      <c r="I365">
        <f>IF(AtoutsHandicapsMatos!$O$12=A365,1,0)</f>
        <v>0</v>
      </c>
      <c r="J365">
        <f>IF(AtoutsHandicapsMatos!$N$13=A365,1,0)</f>
        <v>0</v>
      </c>
      <c r="K365">
        <f>IF(AtoutsHandicapsMatos!$N$14=A365,1,0)</f>
        <v>0</v>
      </c>
      <c r="L365">
        <f>IF('Perso Reloaded'!$L$30=A365,1,0)</f>
        <v>0</v>
      </c>
      <c r="M365">
        <f>IF('Perso Reloaded'!$L$31=A365,1,0)</f>
        <v>0</v>
      </c>
      <c r="N365">
        <f>IF('Perso Reloaded'!$L$32=A365,1,0)</f>
        <v>0</v>
      </c>
      <c r="O365">
        <f>IF('Perso Reloaded'!$L$33=A365,1,0)</f>
        <v>0</v>
      </c>
      <c r="P365">
        <f>IF('Perso Reloaded'!$L$34=A365,1,0)</f>
        <v>0</v>
      </c>
      <c r="Q365">
        <f>IF('Perso Reloaded'!$L$35=A365,1,0)</f>
        <v>0</v>
      </c>
      <c r="R365">
        <f>IF('Perso Reloaded'!$L$36=A365,1,0)</f>
        <v>0</v>
      </c>
      <c r="S365">
        <f>IF('Perso Reloaded'!$L$37=A365,1,0)</f>
        <v>0</v>
      </c>
      <c r="T365">
        <f t="shared" si="27"/>
        <v>0</v>
      </c>
      <c r="U365" t="b">
        <f t="shared" si="19"/>
        <v>0</v>
      </c>
    </row>
    <row r="366" spans="1:21" x14ac:dyDescent="0.3">
      <c r="A366" s="65" t="str">
        <f>IF(OR(SexePerso="Féminin",'Perso Reloaded'!$C$6="Féminin"),"Cinglée/ Phobie (légèrement)","Cinglé/ Phobie (légèrement)")</f>
        <v>Cinglé/ Phobie (légèrement)</v>
      </c>
      <c r="B366">
        <f>IF(AtoutsHandicapsMatos!$N$5=A366,1,0)</f>
        <v>0</v>
      </c>
      <c r="C366">
        <f>IF(AtoutsHandicapsMatos!$N$6=A366,1,0)</f>
        <v>0</v>
      </c>
      <c r="D366">
        <f>IF(AtoutsHandicapsMatos!$N$7=A366,1,0)</f>
        <v>0</v>
      </c>
      <c r="E366">
        <f>IF(AtoutsHandicapsMatos!$N$8=A366,1,0)</f>
        <v>0</v>
      </c>
      <c r="F366">
        <f>IF(AtoutsHandicapsMatos!$N$9=A366,1,0)</f>
        <v>0</v>
      </c>
      <c r="G366">
        <f>IF(AtoutsHandicapsMatos!$O$10=A366,1,0)</f>
        <v>0</v>
      </c>
      <c r="H366">
        <f>IF(AtoutsHandicapsMatos!$O$11=A366,1,0)</f>
        <v>0</v>
      </c>
      <c r="I366">
        <f>IF(AtoutsHandicapsMatos!$O$12=A366,1,0)</f>
        <v>0</v>
      </c>
      <c r="J366">
        <f>IF(AtoutsHandicapsMatos!$N$13=A366,1,0)</f>
        <v>0</v>
      </c>
      <c r="K366">
        <f>IF(AtoutsHandicapsMatos!$N$14=A366,1,0)</f>
        <v>0</v>
      </c>
      <c r="L366">
        <f>IF('Perso Reloaded'!$L$30=A366,1,0)</f>
        <v>0</v>
      </c>
      <c r="M366">
        <f>IF('Perso Reloaded'!$L$31=A366,1,0)</f>
        <v>0</v>
      </c>
      <c r="N366">
        <f>IF('Perso Reloaded'!$L$32=A366,1,0)</f>
        <v>0</v>
      </c>
      <c r="O366">
        <f>IF('Perso Reloaded'!$L$33=A366,1,0)</f>
        <v>0</v>
      </c>
      <c r="P366">
        <f>IF('Perso Reloaded'!$L$34=A366,1,0)</f>
        <v>0</v>
      </c>
      <c r="Q366">
        <f>IF('Perso Reloaded'!$L$35=A366,1,0)</f>
        <v>0</v>
      </c>
      <c r="R366">
        <f>IF('Perso Reloaded'!$L$36=A366,1,0)</f>
        <v>0</v>
      </c>
      <c r="S366">
        <f>IF('Perso Reloaded'!$L$37=A366,1,0)</f>
        <v>0</v>
      </c>
      <c r="T366">
        <f t="shared" si="20"/>
        <v>0</v>
      </c>
      <c r="U366" t="b">
        <f t="shared" si="19"/>
        <v>0</v>
      </c>
    </row>
    <row r="367" spans="1:21" x14ac:dyDescent="0.3">
      <c r="A367" s="65" t="str">
        <f>IF(OR(SexePerso="Féminin",'Perso Reloaded'!$C$6="Féminin"),"Cinglée/ Phobie (moyennement)","Cinglé/ Phobie (moyennement)")</f>
        <v>Cinglé/ Phobie (moyennement)</v>
      </c>
      <c r="B367">
        <f>IF(AtoutsHandicapsMatos!$N$5=A367,1,0)</f>
        <v>0</v>
      </c>
      <c r="C367">
        <f>IF(AtoutsHandicapsMatos!$N$6=A367,1,0)</f>
        <v>0</v>
      </c>
      <c r="D367">
        <f>IF(AtoutsHandicapsMatos!$N$7=A367,1,0)</f>
        <v>0</v>
      </c>
      <c r="E367">
        <f>IF(AtoutsHandicapsMatos!$N$8=A367,1,0)</f>
        <v>0</v>
      </c>
      <c r="F367">
        <f>IF(AtoutsHandicapsMatos!$N$9=A367,1,0)</f>
        <v>0</v>
      </c>
      <c r="G367">
        <f>IF(AtoutsHandicapsMatos!$O$10=A367,1,0)</f>
        <v>0</v>
      </c>
      <c r="H367">
        <f>IF(AtoutsHandicapsMatos!$O$11=A367,1,0)</f>
        <v>0</v>
      </c>
      <c r="I367">
        <f>IF(AtoutsHandicapsMatos!$O$12=A367,1,0)</f>
        <v>0</v>
      </c>
      <c r="J367">
        <f>IF(AtoutsHandicapsMatos!$N$13=A367,1,0)</f>
        <v>0</v>
      </c>
      <c r="K367">
        <f>IF(AtoutsHandicapsMatos!$N$14=A367,1,0)</f>
        <v>0</v>
      </c>
      <c r="L367">
        <f>IF('Perso Reloaded'!$L$30=A367,1,0)</f>
        <v>0</v>
      </c>
      <c r="M367">
        <f>IF('Perso Reloaded'!$L$31=A367,1,0)</f>
        <v>0</v>
      </c>
      <c r="N367">
        <f>IF('Perso Reloaded'!$L$32=A367,1,0)</f>
        <v>0</v>
      </c>
      <c r="O367">
        <f>IF('Perso Reloaded'!$L$33=A367,1,0)</f>
        <v>0</v>
      </c>
      <c r="P367">
        <f>IF('Perso Reloaded'!$L$34=A367,1,0)</f>
        <v>0</v>
      </c>
      <c r="Q367">
        <f>IF('Perso Reloaded'!$L$35=A367,1,0)</f>
        <v>0</v>
      </c>
      <c r="R367">
        <f>IF('Perso Reloaded'!$L$36=A367,1,0)</f>
        <v>0</v>
      </c>
      <c r="S367">
        <f>IF('Perso Reloaded'!$L$37=A367,1,0)</f>
        <v>0</v>
      </c>
      <c r="T367">
        <f t="shared" si="20"/>
        <v>0</v>
      </c>
      <c r="U367" t="b">
        <f t="shared" si="19"/>
        <v>0</v>
      </c>
    </row>
    <row r="368" spans="1:21" x14ac:dyDescent="0.3">
      <c r="A368" s="65" t="str">
        <f>IF(OR(SexePerso="Féminin",'Perso Reloaded'!$C$6="Féminin"),"Cinglée/ Phobie (fortement)","Cinglé/ Phobie (fortement)")</f>
        <v>Cinglé/ Phobie (fortement)</v>
      </c>
      <c r="B368">
        <f>IF(AtoutsHandicapsMatos!$N$5=A368,1,0)</f>
        <v>0</v>
      </c>
      <c r="C368">
        <f>IF(AtoutsHandicapsMatos!$N$6=A368,1,0)</f>
        <v>0</v>
      </c>
      <c r="D368">
        <f>IF(AtoutsHandicapsMatos!$N$7=A368,1,0)</f>
        <v>0</v>
      </c>
      <c r="E368">
        <f>IF(AtoutsHandicapsMatos!$N$8=A368,1,0)</f>
        <v>0</v>
      </c>
      <c r="F368">
        <f>IF(AtoutsHandicapsMatos!$N$9=A368,1,0)</f>
        <v>0</v>
      </c>
      <c r="G368">
        <f>IF(AtoutsHandicapsMatos!$O$10=A368,1,0)</f>
        <v>0</v>
      </c>
      <c r="H368">
        <f>IF(AtoutsHandicapsMatos!$O$11=A368,1,0)</f>
        <v>0</v>
      </c>
      <c r="I368">
        <f>IF(AtoutsHandicapsMatos!$O$12=A368,1,0)</f>
        <v>0</v>
      </c>
      <c r="J368">
        <f>IF(AtoutsHandicapsMatos!$N$13=A368,1,0)</f>
        <v>0</v>
      </c>
      <c r="K368">
        <f>IF(AtoutsHandicapsMatos!$N$14=A368,1,0)</f>
        <v>0</v>
      </c>
      <c r="L368">
        <f>IF('Perso Reloaded'!$L$30=A368,1,0)</f>
        <v>0</v>
      </c>
      <c r="M368">
        <f>IF('Perso Reloaded'!$L$31=A368,1,0)</f>
        <v>0</v>
      </c>
      <c r="N368">
        <f>IF('Perso Reloaded'!$L$32=A368,1,0)</f>
        <v>0</v>
      </c>
      <c r="O368">
        <f>IF('Perso Reloaded'!$L$33=A368,1,0)</f>
        <v>0</v>
      </c>
      <c r="P368">
        <f>IF('Perso Reloaded'!$L$34=A368,1,0)</f>
        <v>0</v>
      </c>
      <c r="Q368">
        <f>IF('Perso Reloaded'!$L$35=A368,1,0)</f>
        <v>0</v>
      </c>
      <c r="R368">
        <f>IF('Perso Reloaded'!$L$36=A368,1,0)</f>
        <v>0</v>
      </c>
      <c r="S368">
        <f>IF('Perso Reloaded'!$L$37=A368,1,0)</f>
        <v>0</v>
      </c>
      <c r="T368">
        <f t="shared" si="20"/>
        <v>0</v>
      </c>
      <c r="U368" t="b">
        <f t="shared" si="19"/>
        <v>0</v>
      </c>
    </row>
    <row r="369" spans="1:21" x14ac:dyDescent="0.3">
      <c r="A369" s="65" t="str">
        <f>IF(OR(SexePerso="Féminin",'Perso Reloaded'!$C$6="Féminin"),"Cinglée/ Phobie (complètement)","Cinglé/ Phobie (complètement)")</f>
        <v>Cinglé/ Phobie (complètement)</v>
      </c>
      <c r="B369">
        <f>IF(AtoutsHandicapsMatos!$N$5=A369,1,0)</f>
        <v>0</v>
      </c>
      <c r="C369">
        <f>IF(AtoutsHandicapsMatos!$N$6=A369,1,0)</f>
        <v>0</v>
      </c>
      <c r="D369">
        <f>IF(AtoutsHandicapsMatos!$N$7=A369,1,0)</f>
        <v>0</v>
      </c>
      <c r="E369">
        <f>IF(AtoutsHandicapsMatos!$N$8=A369,1,0)</f>
        <v>0</v>
      </c>
      <c r="F369">
        <f>IF(AtoutsHandicapsMatos!$N$9=A369,1,0)</f>
        <v>0</v>
      </c>
      <c r="G369">
        <f>IF(AtoutsHandicapsMatos!$O$10=A369,1,0)</f>
        <v>0</v>
      </c>
      <c r="H369">
        <f>IF(AtoutsHandicapsMatos!$O$11=A369,1,0)</f>
        <v>0</v>
      </c>
      <c r="I369">
        <f>IF(AtoutsHandicapsMatos!$O$12=A369,1,0)</f>
        <v>0</v>
      </c>
      <c r="J369">
        <f>IF(AtoutsHandicapsMatos!$N$13=A369,1,0)</f>
        <v>0</v>
      </c>
      <c r="K369">
        <f>IF(AtoutsHandicapsMatos!$N$14=A369,1,0)</f>
        <v>0</v>
      </c>
      <c r="L369">
        <f>IF('Perso Reloaded'!$L$30=A369,1,0)</f>
        <v>0</v>
      </c>
      <c r="M369">
        <f>IF('Perso Reloaded'!$L$31=A369,1,0)</f>
        <v>0</v>
      </c>
      <c r="N369">
        <f>IF('Perso Reloaded'!$L$32=A369,1,0)</f>
        <v>0</v>
      </c>
      <c r="O369">
        <f>IF('Perso Reloaded'!$L$33=A369,1,0)</f>
        <v>0</v>
      </c>
      <c r="P369">
        <f>IF('Perso Reloaded'!$L$34=A369,1,0)</f>
        <v>0</v>
      </c>
      <c r="Q369">
        <f>IF('Perso Reloaded'!$L$35=A369,1,0)</f>
        <v>0</v>
      </c>
      <c r="R369">
        <f>IF('Perso Reloaded'!$L$36=A369,1,0)</f>
        <v>0</v>
      </c>
      <c r="S369">
        <f>IF('Perso Reloaded'!$L$37=A369,1,0)</f>
        <v>0</v>
      </c>
      <c r="T369">
        <f t="shared" si="20"/>
        <v>0</v>
      </c>
      <c r="U369" t="b">
        <f t="shared" si="19"/>
        <v>0</v>
      </c>
    </row>
    <row r="370" spans="1:21" x14ac:dyDescent="0.3">
      <c r="A370" s="65" t="str">
        <f>IF(OR(SexePerso="Féminin",'Perso Reloaded'!$C$6="Féminin"),"Cinglée/ Phobie (irrémédiablement)","Cinglé/ Phobie (irrémédiablement)")</f>
        <v>Cinglé/ Phobie (irrémédiablement)</v>
      </c>
      <c r="B370">
        <f>IF(AtoutsHandicapsMatos!$N$5=A370,1,0)</f>
        <v>0</v>
      </c>
      <c r="C370">
        <f>IF(AtoutsHandicapsMatos!$N$6=A370,1,0)</f>
        <v>0</v>
      </c>
      <c r="D370">
        <f>IF(AtoutsHandicapsMatos!$N$7=A370,1,0)</f>
        <v>0</v>
      </c>
      <c r="E370">
        <f>IF(AtoutsHandicapsMatos!$N$8=A370,1,0)</f>
        <v>0</v>
      </c>
      <c r="F370">
        <f>IF(AtoutsHandicapsMatos!$N$9=A370,1,0)</f>
        <v>0</v>
      </c>
      <c r="G370">
        <f>IF(AtoutsHandicapsMatos!$O$10=A370,1,0)</f>
        <v>0</v>
      </c>
      <c r="H370">
        <f>IF(AtoutsHandicapsMatos!$O$11=A370,1,0)</f>
        <v>0</v>
      </c>
      <c r="I370">
        <f>IF(AtoutsHandicapsMatos!$O$12=A370,1,0)</f>
        <v>0</v>
      </c>
      <c r="J370">
        <f>IF(AtoutsHandicapsMatos!$N$13=A370,1,0)</f>
        <v>0</v>
      </c>
      <c r="K370">
        <f>IF(AtoutsHandicapsMatos!$N$14=A370,1,0)</f>
        <v>0</v>
      </c>
      <c r="L370">
        <f>IF('Perso Reloaded'!$L$30=A370,1,0)</f>
        <v>0</v>
      </c>
      <c r="M370">
        <f>IF('Perso Reloaded'!$L$31=A370,1,0)</f>
        <v>0</v>
      </c>
      <c r="N370">
        <f>IF('Perso Reloaded'!$L$32=A370,1,0)</f>
        <v>0</v>
      </c>
      <c r="O370">
        <f>IF('Perso Reloaded'!$L$33=A370,1,0)</f>
        <v>0</v>
      </c>
      <c r="P370">
        <f>IF('Perso Reloaded'!$L$34=A370,1,0)</f>
        <v>0</v>
      </c>
      <c r="Q370">
        <f>IF('Perso Reloaded'!$L$35=A370,1,0)</f>
        <v>0</v>
      </c>
      <c r="R370">
        <f>IF('Perso Reloaded'!$L$36=A370,1,0)</f>
        <v>0</v>
      </c>
      <c r="S370">
        <f>IF('Perso Reloaded'!$L$37=A370,1,0)</f>
        <v>0</v>
      </c>
      <c r="T370">
        <f t="shared" si="20"/>
        <v>0</v>
      </c>
      <c r="U370" t="b">
        <f t="shared" si="19"/>
        <v>0</v>
      </c>
    </row>
    <row r="371" spans="1:21" x14ac:dyDescent="0.3">
      <c r="A371" s="65" t="s">
        <v>216</v>
      </c>
      <c r="B371">
        <f>IF(AtoutsHandicapsMatos!$N$5=A371,1,0)</f>
        <v>0</v>
      </c>
      <c r="C371">
        <f>IF(AtoutsHandicapsMatos!$N$6=A371,1,0)</f>
        <v>0</v>
      </c>
      <c r="D371">
        <f>IF(AtoutsHandicapsMatos!$N$7=A371,1,0)</f>
        <v>0</v>
      </c>
      <c r="E371">
        <f>IF(AtoutsHandicapsMatos!$N$8=A371,1,0)</f>
        <v>0</v>
      </c>
      <c r="F371">
        <f>IF(AtoutsHandicapsMatos!$N$9=A371,1,0)</f>
        <v>0</v>
      </c>
      <c r="G371">
        <f>IF(AtoutsHandicapsMatos!$O$10=A371,1,0)</f>
        <v>0</v>
      </c>
      <c r="H371">
        <f>IF(AtoutsHandicapsMatos!$O$11=A371,1,0)</f>
        <v>0</v>
      </c>
      <c r="I371">
        <f>IF(AtoutsHandicapsMatos!$O$12=A371,1,0)</f>
        <v>0</v>
      </c>
      <c r="J371">
        <f>IF(AtoutsHandicapsMatos!$N$13=A371,1,0)</f>
        <v>0</v>
      </c>
      <c r="K371">
        <f>IF(AtoutsHandicapsMatos!$N$14=A371,1,0)</f>
        <v>0</v>
      </c>
      <c r="L371">
        <f>IF('Perso Reloaded'!$L$30=A371,1,0)</f>
        <v>0</v>
      </c>
      <c r="M371">
        <f>IF('Perso Reloaded'!$L$31=A371,1,0)</f>
        <v>0</v>
      </c>
      <c r="N371">
        <f>IF('Perso Reloaded'!$L$32=A371,1,0)</f>
        <v>0</v>
      </c>
      <c r="O371">
        <f>IF('Perso Reloaded'!$L$33=A371,1,0)</f>
        <v>0</v>
      </c>
      <c r="P371">
        <f>IF('Perso Reloaded'!$L$34=A371,1,0)</f>
        <v>0</v>
      </c>
      <c r="Q371">
        <f>IF('Perso Reloaded'!$L$35=A371,1,0)</f>
        <v>0</v>
      </c>
      <c r="R371">
        <f>IF('Perso Reloaded'!$L$36=A371,1,0)</f>
        <v>0</v>
      </c>
      <c r="S371">
        <f>IF('Perso Reloaded'!$L$37=A371,1,0)</f>
        <v>0</v>
      </c>
      <c r="T371">
        <f t="shared" si="20"/>
        <v>0</v>
      </c>
      <c r="U371" t="b">
        <f t="shared" si="19"/>
        <v>0</v>
      </c>
    </row>
    <row r="372" spans="1:21" x14ac:dyDescent="0.3">
      <c r="A372" s="65" t="s">
        <v>217</v>
      </c>
      <c r="B372">
        <f>IF(AtoutsHandicapsMatos!$N$5=A372,1,0)</f>
        <v>0</v>
      </c>
      <c r="C372">
        <f>IF(AtoutsHandicapsMatos!$N$6=A372,1,0)</f>
        <v>0</v>
      </c>
      <c r="D372">
        <f>IF(AtoutsHandicapsMatos!$N$7=A372,1,0)</f>
        <v>0</v>
      </c>
      <c r="E372">
        <f>IF(AtoutsHandicapsMatos!$N$8=A372,1,0)</f>
        <v>0</v>
      </c>
      <c r="F372">
        <f>IF(AtoutsHandicapsMatos!$N$9=A372,1,0)</f>
        <v>0</v>
      </c>
      <c r="G372">
        <f>IF(AtoutsHandicapsMatos!$O$10=A372,1,0)</f>
        <v>0</v>
      </c>
      <c r="H372">
        <f>IF(AtoutsHandicapsMatos!$O$11=A372,1,0)</f>
        <v>0</v>
      </c>
      <c r="I372">
        <f>IF(AtoutsHandicapsMatos!$O$12=A372,1,0)</f>
        <v>0</v>
      </c>
      <c r="J372">
        <f>IF(AtoutsHandicapsMatos!$N$13=A372,1,0)</f>
        <v>0</v>
      </c>
      <c r="K372">
        <f>IF(AtoutsHandicapsMatos!$N$14=A372,1,0)</f>
        <v>0</v>
      </c>
      <c r="L372">
        <f>IF('Perso Reloaded'!$L$30=A372,1,0)</f>
        <v>0</v>
      </c>
      <c r="M372">
        <f>IF('Perso Reloaded'!$L$31=A372,1,0)</f>
        <v>0</v>
      </c>
      <c r="N372">
        <f>IF('Perso Reloaded'!$L$32=A372,1,0)</f>
        <v>0</v>
      </c>
      <c r="O372">
        <f>IF('Perso Reloaded'!$L$33=A372,1,0)</f>
        <v>0</v>
      </c>
      <c r="P372">
        <f>IF('Perso Reloaded'!$L$34=A372,1,0)</f>
        <v>0</v>
      </c>
      <c r="Q372">
        <f>IF('Perso Reloaded'!$L$35=A372,1,0)</f>
        <v>0</v>
      </c>
      <c r="R372">
        <f>IF('Perso Reloaded'!$L$36=A372,1,0)</f>
        <v>0</v>
      </c>
      <c r="S372">
        <f>IF('Perso Reloaded'!$L$37=A372,1,0)</f>
        <v>0</v>
      </c>
      <c r="T372">
        <f t="shared" si="20"/>
        <v>0</v>
      </c>
      <c r="U372" t="b">
        <f t="shared" si="19"/>
        <v>0</v>
      </c>
    </row>
    <row r="373" spans="1:21" x14ac:dyDescent="0.3">
      <c r="A373" s="65" t="s">
        <v>218</v>
      </c>
      <c r="B373">
        <f>IF(AtoutsHandicapsMatos!$N$5=A373,1,0)</f>
        <v>0</v>
      </c>
      <c r="C373">
        <f>IF(AtoutsHandicapsMatos!$N$6=A373,1,0)</f>
        <v>0</v>
      </c>
      <c r="D373">
        <f>IF(AtoutsHandicapsMatos!$N$7=A373,1,0)</f>
        <v>0</v>
      </c>
      <c r="E373">
        <f>IF(AtoutsHandicapsMatos!$N$8=A373,1,0)</f>
        <v>0</v>
      </c>
      <c r="F373">
        <f>IF(AtoutsHandicapsMatos!$N$9=A373,1,0)</f>
        <v>0</v>
      </c>
      <c r="G373">
        <f>IF(AtoutsHandicapsMatos!$O$10=A373,1,0)</f>
        <v>0</v>
      </c>
      <c r="H373">
        <f>IF(AtoutsHandicapsMatos!$O$11=A373,1,0)</f>
        <v>0</v>
      </c>
      <c r="I373">
        <f>IF(AtoutsHandicapsMatos!$O$12=A373,1,0)</f>
        <v>0</v>
      </c>
      <c r="J373">
        <f>IF(AtoutsHandicapsMatos!$N$13=A373,1,0)</f>
        <v>0</v>
      </c>
      <c r="K373">
        <f>IF(AtoutsHandicapsMatos!$N$14=A373,1,0)</f>
        <v>0</v>
      </c>
      <c r="L373">
        <f>IF('Perso Reloaded'!$L$30=A373,1,0)</f>
        <v>0</v>
      </c>
      <c r="M373">
        <f>IF('Perso Reloaded'!$L$31=A373,1,0)</f>
        <v>0</v>
      </c>
      <c r="N373">
        <f>IF('Perso Reloaded'!$L$32=A373,1,0)</f>
        <v>0</v>
      </c>
      <c r="O373">
        <f>IF('Perso Reloaded'!$L$33=A373,1,0)</f>
        <v>0</v>
      </c>
      <c r="P373">
        <f>IF('Perso Reloaded'!$L$34=A373,1,0)</f>
        <v>0</v>
      </c>
      <c r="Q373">
        <f>IF('Perso Reloaded'!$L$35=A373,1,0)</f>
        <v>0</v>
      </c>
      <c r="R373">
        <f>IF('Perso Reloaded'!$L$36=A373,1,0)</f>
        <v>0</v>
      </c>
      <c r="S373">
        <f>IF('Perso Reloaded'!$L$37=A373,1,0)</f>
        <v>0</v>
      </c>
      <c r="T373">
        <f t="shared" si="20"/>
        <v>0</v>
      </c>
      <c r="U373" t="b">
        <f t="shared" si="19"/>
        <v>0</v>
      </c>
    </row>
    <row r="374" spans="1:21" x14ac:dyDescent="0.3">
      <c r="A374" s="65" t="str">
        <f>IF(OR(SexePerso="Féminin",'Perso Reloaded'!$C$6="Féminin"),"Croulante/Agée","Croulant/Agé")</f>
        <v>Croulant/Agé</v>
      </c>
      <c r="B374">
        <f>IF(AtoutsHandicapsMatos!$N$5=A374,1,0)</f>
        <v>0</v>
      </c>
      <c r="C374">
        <f>IF(AtoutsHandicapsMatos!$N$6=A374,1,0)</f>
        <v>0</v>
      </c>
      <c r="D374">
        <f>IF(AtoutsHandicapsMatos!$N$7=A374,1,0)</f>
        <v>0</v>
      </c>
      <c r="E374">
        <f>IF(AtoutsHandicapsMatos!$N$8=A374,1,0)</f>
        <v>0</v>
      </c>
      <c r="F374">
        <f>IF(AtoutsHandicapsMatos!$N$9=A374,1,0)</f>
        <v>0</v>
      </c>
      <c r="G374">
        <f>IF(AtoutsHandicapsMatos!$O$10=A374,1,0)</f>
        <v>0</v>
      </c>
      <c r="H374">
        <f>IF(AtoutsHandicapsMatos!$O$11=A374,1,0)</f>
        <v>0</v>
      </c>
      <c r="I374">
        <f>IF(AtoutsHandicapsMatos!$O$12=A374,1,0)</f>
        <v>0</v>
      </c>
      <c r="J374">
        <f>IF(AtoutsHandicapsMatos!$N$13=A374,1,0)</f>
        <v>0</v>
      </c>
      <c r="K374">
        <f>IF(AtoutsHandicapsMatos!$N$14=A374,1,0)</f>
        <v>0</v>
      </c>
      <c r="L374">
        <f>IF('Perso Reloaded'!$L$30=A374,1,0)</f>
        <v>0</v>
      </c>
      <c r="M374">
        <f>IF('Perso Reloaded'!$L$31=A374,1,0)</f>
        <v>0</v>
      </c>
      <c r="N374">
        <f>IF('Perso Reloaded'!$L$32=A374,1,0)</f>
        <v>0</v>
      </c>
      <c r="O374">
        <f>IF('Perso Reloaded'!$L$33=A374,1,0)</f>
        <v>0</v>
      </c>
      <c r="P374">
        <f>IF('Perso Reloaded'!$L$34=A374,1,0)</f>
        <v>0</v>
      </c>
      <c r="Q374">
        <f>IF('Perso Reloaded'!$L$35=A374,1,0)</f>
        <v>0</v>
      </c>
      <c r="R374">
        <f>IF('Perso Reloaded'!$L$36=A374,1,0)</f>
        <v>0</v>
      </c>
      <c r="S374">
        <f>IF('Perso Reloaded'!$L$37=A374,1,0)</f>
        <v>0</v>
      </c>
      <c r="T374">
        <f t="shared" si="20"/>
        <v>0</v>
      </c>
      <c r="U374" t="b">
        <f>IF(T374&gt;0,TRUE,IF(AND(agecalc&gt;80,agecalc&lt;100),TRUE,FALSE))</f>
        <v>0</v>
      </c>
    </row>
    <row r="375" spans="1:21" x14ac:dyDescent="0.3">
      <c r="A375" s="65" t="str">
        <f>IF(OR(SexePerso="Féminin",'Perso Reloaded'!$C$6="Féminin"),"Croulante/Agée (fortement)","Croulant/Agé (fortement)")</f>
        <v>Croulant/Agé (fortement)</v>
      </c>
      <c r="B375">
        <f>IF(AtoutsHandicapsMatos!$N$5=A375,1,0)</f>
        <v>0</v>
      </c>
      <c r="C375">
        <f>IF(AtoutsHandicapsMatos!$N$6=A375,1,0)</f>
        <v>0</v>
      </c>
      <c r="D375">
        <f>IF(AtoutsHandicapsMatos!$N$7=A375,1,0)</f>
        <v>0</v>
      </c>
      <c r="E375">
        <f>IF(AtoutsHandicapsMatos!$N$8=A375,1,0)</f>
        <v>0</v>
      </c>
      <c r="F375">
        <f>IF(AtoutsHandicapsMatos!$N$9=A375,1,0)</f>
        <v>0</v>
      </c>
      <c r="G375">
        <f>IF(AtoutsHandicapsMatos!$O$10=A375,1,0)</f>
        <v>0</v>
      </c>
      <c r="H375">
        <f>IF(AtoutsHandicapsMatos!$O$11=A375,1,0)</f>
        <v>0</v>
      </c>
      <c r="I375">
        <f>IF(AtoutsHandicapsMatos!$O$12=A375,1,0)</f>
        <v>0</v>
      </c>
      <c r="J375">
        <f>IF(AtoutsHandicapsMatos!$N$13=A375,1,0)</f>
        <v>0</v>
      </c>
      <c r="K375">
        <f>IF(AtoutsHandicapsMatos!$N$14=A375,1,0)</f>
        <v>0</v>
      </c>
      <c r="L375">
        <f>IF('Perso Reloaded'!$L$30=A375,1,0)</f>
        <v>0</v>
      </c>
      <c r="M375">
        <f>IF('Perso Reloaded'!$L$31=A375,1,0)</f>
        <v>0</v>
      </c>
      <c r="N375">
        <f>IF('Perso Reloaded'!$L$32=A375,1,0)</f>
        <v>0</v>
      </c>
      <c r="O375">
        <f>IF('Perso Reloaded'!$L$33=A375,1,0)</f>
        <v>0</v>
      </c>
      <c r="P375">
        <f>IF('Perso Reloaded'!$L$34=A375,1,0)</f>
        <v>0</v>
      </c>
      <c r="Q375">
        <f>IF('Perso Reloaded'!$L$35=A375,1,0)</f>
        <v>0</v>
      </c>
      <c r="R375">
        <f>IF('Perso Reloaded'!$L$36=A375,1,0)</f>
        <v>0</v>
      </c>
      <c r="S375">
        <f>IF('Perso Reloaded'!$L$37=A375,1,0)</f>
        <v>0</v>
      </c>
      <c r="T375">
        <f t="shared" si="20"/>
        <v>0</v>
      </c>
      <c r="U375" t="b">
        <f>IF(T374&gt;0,TRUE,IF(agecalc&gt;100,TRUE,FALSE))</f>
        <v>0</v>
      </c>
    </row>
    <row r="376" spans="1:21" x14ac:dyDescent="0.3">
      <c r="A376" s="65" t="s">
        <v>3095</v>
      </c>
      <c r="B376">
        <f>IF(AtoutsHandicapsMatos!$N$5=A376,1,0)</f>
        <v>0</v>
      </c>
      <c r="C376">
        <f>IF(AtoutsHandicapsMatos!$N$6=A376,1,0)</f>
        <v>0</v>
      </c>
      <c r="D376">
        <f>IF(AtoutsHandicapsMatos!$N$7=A376,1,0)</f>
        <v>0</v>
      </c>
      <c r="E376">
        <f>IF(AtoutsHandicapsMatos!$N$8=A376,1,0)</f>
        <v>0</v>
      </c>
      <c r="F376">
        <f>IF(AtoutsHandicapsMatos!$N$9=A376,1,0)</f>
        <v>0</v>
      </c>
      <c r="G376">
        <f>IF(AtoutsHandicapsMatos!$O$10=A376,1,0)</f>
        <v>0</v>
      </c>
      <c r="H376">
        <f>IF(AtoutsHandicapsMatos!$O$11=A376,1,0)</f>
        <v>0</v>
      </c>
      <c r="I376">
        <f>IF(AtoutsHandicapsMatos!$O$12=A376,1,0)</f>
        <v>0</v>
      </c>
      <c r="J376">
        <f>IF(AtoutsHandicapsMatos!$N$13=A376,1,0)</f>
        <v>0</v>
      </c>
      <c r="K376">
        <f>IF(AtoutsHandicapsMatos!$N$14=A376,1,0)</f>
        <v>0</v>
      </c>
      <c r="L376">
        <f>IF('Perso Reloaded'!$L$30=A376,1,0)</f>
        <v>0</v>
      </c>
      <c r="M376">
        <f>IF('Perso Reloaded'!$L$31=A376,1,0)</f>
        <v>0</v>
      </c>
      <c r="N376">
        <f>IF('Perso Reloaded'!$L$32=A376,1,0)</f>
        <v>0</v>
      </c>
      <c r="O376">
        <f>IF('Perso Reloaded'!$L$33=A376,1,0)</f>
        <v>0</v>
      </c>
      <c r="P376">
        <f>IF('Perso Reloaded'!$L$34=A376,1,0)</f>
        <v>0</v>
      </c>
      <c r="Q376">
        <f>IF('Perso Reloaded'!$L$35=A376,1,0)</f>
        <v>0</v>
      </c>
      <c r="R376">
        <f>IF('Perso Reloaded'!$L$36=A376,1,0)</f>
        <v>0</v>
      </c>
      <c r="S376">
        <f>IF('Perso Reloaded'!$L$37=A376,1,0)</f>
        <v>0</v>
      </c>
      <c r="T376">
        <f t="shared" si="20"/>
        <v>0</v>
      </c>
      <c r="U376" t="b">
        <f t="shared" si="19"/>
        <v>0</v>
      </c>
    </row>
    <row r="377" spans="1:21" x14ac:dyDescent="0.3">
      <c r="A377" s="65" t="s">
        <v>3096</v>
      </c>
      <c r="B377">
        <f>IF(AtoutsHandicapsMatos!$N$5=A377,1,0)</f>
        <v>0</v>
      </c>
      <c r="C377">
        <f>IF(AtoutsHandicapsMatos!$N$6=A377,1,0)</f>
        <v>0</v>
      </c>
      <c r="D377">
        <f>IF(AtoutsHandicapsMatos!$N$7=A377,1,0)</f>
        <v>0</v>
      </c>
      <c r="E377">
        <f>IF(AtoutsHandicapsMatos!$N$8=A377,1,0)</f>
        <v>0</v>
      </c>
      <c r="F377">
        <f>IF(AtoutsHandicapsMatos!$N$9=A377,1,0)</f>
        <v>0</v>
      </c>
      <c r="G377">
        <f>IF(AtoutsHandicapsMatos!$O$10=A377,1,0)</f>
        <v>0</v>
      </c>
      <c r="H377">
        <f>IF(AtoutsHandicapsMatos!$O$11=A377,1,0)</f>
        <v>0</v>
      </c>
      <c r="I377">
        <f>IF(AtoutsHandicapsMatos!$O$12=A377,1,0)</f>
        <v>0</v>
      </c>
      <c r="J377">
        <f>IF(AtoutsHandicapsMatos!$N$13=A377,1,0)</f>
        <v>0</v>
      </c>
      <c r="K377">
        <f>IF(AtoutsHandicapsMatos!$N$14=A377,1,0)</f>
        <v>0</v>
      </c>
      <c r="L377">
        <f>IF('Perso Reloaded'!$L$30=A377,1,0)</f>
        <v>0</v>
      </c>
      <c r="M377">
        <f>IF('Perso Reloaded'!$L$31=A377,1,0)</f>
        <v>0</v>
      </c>
      <c r="N377">
        <f>IF('Perso Reloaded'!$L$32=A377,1,0)</f>
        <v>0</v>
      </c>
      <c r="O377">
        <f>IF('Perso Reloaded'!$L$33=A377,1,0)</f>
        <v>0</v>
      </c>
      <c r="P377">
        <f>IF('Perso Reloaded'!$L$34=A377,1,0)</f>
        <v>0</v>
      </c>
      <c r="Q377">
        <f>IF('Perso Reloaded'!$L$35=A377,1,0)</f>
        <v>0</v>
      </c>
      <c r="R377">
        <f>IF('Perso Reloaded'!$L$36=A377,1,0)</f>
        <v>0</v>
      </c>
      <c r="S377">
        <f>IF('Perso Reloaded'!$L$37=A377,1,0)</f>
        <v>0</v>
      </c>
      <c r="T377">
        <f t="shared" si="20"/>
        <v>0</v>
      </c>
      <c r="U377" t="b">
        <f t="shared" ref="U377" si="28">IF(T377=0,FALSE,TRUE)</f>
        <v>0</v>
      </c>
    </row>
    <row r="378" spans="1:21" x14ac:dyDescent="0.3">
      <c r="A378" s="65" t="str">
        <f>IF(OR(SexePerso="Féminin",'Perso Reloaded'!$C$6="Féminin"),"Curieuse","Curieux")</f>
        <v>Curieux</v>
      </c>
      <c r="B378">
        <f>IF(AtoutsHandicapsMatos!$N$5=A378,1,0)</f>
        <v>0</v>
      </c>
      <c r="C378">
        <f>IF(AtoutsHandicapsMatos!$N$6=A378,1,0)</f>
        <v>0</v>
      </c>
      <c r="D378">
        <f>IF(AtoutsHandicapsMatos!$N$7=A378,1,0)</f>
        <v>0</v>
      </c>
      <c r="E378">
        <f>IF(AtoutsHandicapsMatos!$N$8=A378,1,0)</f>
        <v>0</v>
      </c>
      <c r="F378">
        <f>IF(AtoutsHandicapsMatos!$N$9=A378,1,0)</f>
        <v>0</v>
      </c>
      <c r="G378">
        <f>IF(AtoutsHandicapsMatos!$O$10=A378,1,0)</f>
        <v>0</v>
      </c>
      <c r="H378">
        <f>IF(AtoutsHandicapsMatos!$O$11=A378,1,0)</f>
        <v>0</v>
      </c>
      <c r="I378">
        <f>IF(AtoutsHandicapsMatos!$O$12=A378,1,0)</f>
        <v>0</v>
      </c>
      <c r="J378">
        <f>IF(AtoutsHandicapsMatos!$N$13=A378,1,0)</f>
        <v>0</v>
      </c>
      <c r="K378">
        <f>IF(AtoutsHandicapsMatos!$N$14=A378,1,0)</f>
        <v>0</v>
      </c>
      <c r="L378">
        <f>IF('Perso Reloaded'!$L$30=A378,1,0)</f>
        <v>0</v>
      </c>
      <c r="M378">
        <f>IF('Perso Reloaded'!$L$31=A378,1,0)</f>
        <v>0</v>
      </c>
      <c r="N378">
        <f>IF('Perso Reloaded'!$L$32=A378,1,0)</f>
        <v>0</v>
      </c>
      <c r="O378">
        <f>IF('Perso Reloaded'!$L$33=A378,1,0)</f>
        <v>0</v>
      </c>
      <c r="P378">
        <f>IF('Perso Reloaded'!$L$34=A378,1,0)</f>
        <v>0</v>
      </c>
      <c r="Q378">
        <f>IF('Perso Reloaded'!$L$35=A378,1,0)</f>
        <v>0</v>
      </c>
      <c r="R378">
        <f>IF('Perso Reloaded'!$L$36=A378,1,0)</f>
        <v>0</v>
      </c>
      <c r="S378">
        <f>IF('Perso Reloaded'!$L$37=A378,1,0)</f>
        <v>0</v>
      </c>
      <c r="T378">
        <f t="shared" si="20"/>
        <v>0</v>
      </c>
      <c r="U378" t="b">
        <f t="shared" si="19"/>
        <v>0</v>
      </c>
    </row>
    <row r="379" spans="1:21" x14ac:dyDescent="0.3">
      <c r="A379" s="65" t="str">
        <f>IF(OR(SexePerso="Féminin",'Perso Reloaded'!$C$6="Féminin"),"Daltonienne/ Monochromate","Daltonien/ Monochromate")</f>
        <v>Daltonien/ Monochromate</v>
      </c>
      <c r="B379">
        <f>IF(AtoutsHandicapsMatos!$N$5=A379,1,0)</f>
        <v>0</v>
      </c>
      <c r="C379">
        <f>IF(AtoutsHandicapsMatos!$N$6=A379,1,0)</f>
        <v>0</v>
      </c>
      <c r="D379">
        <f>IF(AtoutsHandicapsMatos!$N$7=A379,1,0)</f>
        <v>0</v>
      </c>
      <c r="E379">
        <f>IF(AtoutsHandicapsMatos!$N$8=A379,1,0)</f>
        <v>0</v>
      </c>
      <c r="F379">
        <f>IF(AtoutsHandicapsMatos!$N$9=A379,1,0)</f>
        <v>0</v>
      </c>
      <c r="G379">
        <f>IF(AtoutsHandicapsMatos!$O$10=A379,1,0)</f>
        <v>0</v>
      </c>
      <c r="H379">
        <f>IF(AtoutsHandicapsMatos!$O$11=A379,1,0)</f>
        <v>0</v>
      </c>
      <c r="I379">
        <f>IF(AtoutsHandicapsMatos!$O$12=A379,1,0)</f>
        <v>0</v>
      </c>
      <c r="J379">
        <f>IF(AtoutsHandicapsMatos!$N$13=A379,1,0)</f>
        <v>0</v>
      </c>
      <c r="K379">
        <f>IF(AtoutsHandicapsMatos!$N$14=A379,1,0)</f>
        <v>0</v>
      </c>
      <c r="L379">
        <f>IF('Perso Reloaded'!$L$30=A379,1,0)</f>
        <v>0</v>
      </c>
      <c r="M379">
        <f>IF('Perso Reloaded'!$L$31=A379,1,0)</f>
        <v>0</v>
      </c>
      <c r="N379">
        <f>IF('Perso Reloaded'!$L$32=A379,1,0)</f>
        <v>0</v>
      </c>
      <c r="O379">
        <f>IF('Perso Reloaded'!$L$33=A379,1,0)</f>
        <v>0</v>
      </c>
      <c r="P379">
        <f>IF('Perso Reloaded'!$L$34=A379,1,0)</f>
        <v>0</v>
      </c>
      <c r="Q379">
        <f>IF('Perso Reloaded'!$L$35=A379,1,0)</f>
        <v>0</v>
      </c>
      <c r="R379">
        <f>IF('Perso Reloaded'!$L$36=A379,1,0)</f>
        <v>0</v>
      </c>
      <c r="S379">
        <f>IF('Perso Reloaded'!$L$37=A379,1,0)</f>
        <v>0</v>
      </c>
      <c r="T379">
        <f t="shared" ref="T379" si="29">SUM(B379:S379)</f>
        <v>0</v>
      </c>
      <c r="U379" t="b">
        <f t="shared" ref="U379" si="30">IF(T379=0,FALSE,TRUE)</f>
        <v>0</v>
      </c>
    </row>
    <row r="380" spans="1:21" x14ac:dyDescent="0.3">
      <c r="A380" s="65" t="str">
        <f>IF(OR(SexePerso="Féminin",'Perso Reloaded'!$C$6="Féminin"),"Damnée","Damné")</f>
        <v>Damné</v>
      </c>
      <c r="B380">
        <f>IF(AtoutsHandicapsMatos!$N$5=A380,1,0)</f>
        <v>0</v>
      </c>
      <c r="C380">
        <f>IF(AtoutsHandicapsMatos!$N$6=A380,1,0)</f>
        <v>0</v>
      </c>
      <c r="D380">
        <f>IF(AtoutsHandicapsMatos!$N$7=A380,1,0)</f>
        <v>0</v>
      </c>
      <c r="E380">
        <f>IF(AtoutsHandicapsMatos!$N$8=A380,1,0)</f>
        <v>0</v>
      </c>
      <c r="F380">
        <f>IF(AtoutsHandicapsMatos!$N$9=A380,1,0)</f>
        <v>0</v>
      </c>
      <c r="G380">
        <f>IF(AtoutsHandicapsMatos!$O$10=A380,1,0)</f>
        <v>0</v>
      </c>
      <c r="H380">
        <f>IF(AtoutsHandicapsMatos!$O$11=A380,1,0)</f>
        <v>0</v>
      </c>
      <c r="I380">
        <f>IF(AtoutsHandicapsMatos!$O$12=A380,1,0)</f>
        <v>0</v>
      </c>
      <c r="J380">
        <f>IF(AtoutsHandicapsMatos!$N$13=A380,1,0)</f>
        <v>0</v>
      </c>
      <c r="K380">
        <f>IF(AtoutsHandicapsMatos!$N$14=A380,1,0)</f>
        <v>0</v>
      </c>
      <c r="L380">
        <f>IF('Perso Reloaded'!$L$30=A380,1,0)</f>
        <v>0</v>
      </c>
      <c r="M380">
        <f>IF('Perso Reloaded'!$L$31=A380,1,0)</f>
        <v>0</v>
      </c>
      <c r="N380">
        <f>IF('Perso Reloaded'!$L$32=A380,1,0)</f>
        <v>0</v>
      </c>
      <c r="O380">
        <f>IF('Perso Reloaded'!$L$33=A380,1,0)</f>
        <v>0</v>
      </c>
      <c r="P380">
        <f>IF('Perso Reloaded'!$L$34=A380,1,0)</f>
        <v>0</v>
      </c>
      <c r="Q380">
        <f>IF('Perso Reloaded'!$L$35=A380,1,0)</f>
        <v>0</v>
      </c>
      <c r="R380">
        <f>IF('Perso Reloaded'!$L$36=A380,1,0)</f>
        <v>0</v>
      </c>
      <c r="S380">
        <f>IF('Perso Reloaded'!$L$37=A380,1,0)</f>
        <v>0</v>
      </c>
      <c r="T380">
        <f t="shared" si="20"/>
        <v>0</v>
      </c>
      <c r="U380" t="b">
        <f t="shared" si="19"/>
        <v>0</v>
      </c>
    </row>
    <row r="381" spans="1:21" x14ac:dyDescent="0.3">
      <c r="A381" s="65" t="str">
        <f>IF(OR(SexePerso="Féminin",'Perso Reloaded'!$C$6="Féminin"),"Damnée gravement","Damné gravement")</f>
        <v>Damné gravement</v>
      </c>
      <c r="B381">
        <f>IF(AtoutsHandicapsMatos!$N$5=A381,1,0)</f>
        <v>0</v>
      </c>
      <c r="C381">
        <f>IF(AtoutsHandicapsMatos!$N$6=A381,1,0)</f>
        <v>0</v>
      </c>
      <c r="D381">
        <f>IF(AtoutsHandicapsMatos!$N$7=A381,1,0)</f>
        <v>0</v>
      </c>
      <c r="E381">
        <f>IF(AtoutsHandicapsMatos!$N$8=A381,1,0)</f>
        <v>0</v>
      </c>
      <c r="F381">
        <f>IF(AtoutsHandicapsMatos!$N$9=A381,1,0)</f>
        <v>0</v>
      </c>
      <c r="G381">
        <f>IF(AtoutsHandicapsMatos!$O$10=A381,1,0)</f>
        <v>0</v>
      </c>
      <c r="H381">
        <f>IF(AtoutsHandicapsMatos!$O$11=A381,1,0)</f>
        <v>0</v>
      </c>
      <c r="I381">
        <f>IF(AtoutsHandicapsMatos!$O$12=A381,1,0)</f>
        <v>0</v>
      </c>
      <c r="J381">
        <f>IF(AtoutsHandicapsMatos!$N$13=A381,1,0)</f>
        <v>0</v>
      </c>
      <c r="K381">
        <f>IF(AtoutsHandicapsMatos!$N$14=A381,1,0)</f>
        <v>0</v>
      </c>
      <c r="L381">
        <f>IF('Perso Reloaded'!$L$30=A381,1,0)</f>
        <v>0</v>
      </c>
      <c r="M381">
        <f>IF('Perso Reloaded'!$L$31=A381,1,0)</f>
        <v>0</v>
      </c>
      <c r="N381">
        <f>IF('Perso Reloaded'!$L$32=A381,1,0)</f>
        <v>0</v>
      </c>
      <c r="O381">
        <f>IF('Perso Reloaded'!$L$33=A381,1,0)</f>
        <v>0</v>
      </c>
      <c r="P381">
        <f>IF('Perso Reloaded'!$L$34=A381,1,0)</f>
        <v>0</v>
      </c>
      <c r="Q381">
        <f>IF('Perso Reloaded'!$L$35=A381,1,0)</f>
        <v>0</v>
      </c>
      <c r="R381">
        <f>IF('Perso Reloaded'!$L$36=A381,1,0)</f>
        <v>0</v>
      </c>
      <c r="S381">
        <f>IF('Perso Reloaded'!$L$37=A381,1,0)</f>
        <v>0</v>
      </c>
      <c r="T381">
        <f t="shared" si="20"/>
        <v>0</v>
      </c>
      <c r="U381" t="b">
        <f t="shared" si="19"/>
        <v>0</v>
      </c>
    </row>
    <row r="382" spans="1:21" x14ac:dyDescent="0.3">
      <c r="A382" s="65" t="s">
        <v>220</v>
      </c>
      <c r="B382">
        <f>IF(AtoutsHandicapsMatos!$N$5=A382,1,0)</f>
        <v>0</v>
      </c>
      <c r="C382">
        <f>IF(AtoutsHandicapsMatos!$N$6=A382,1,0)</f>
        <v>0</v>
      </c>
      <c r="D382">
        <f>IF(AtoutsHandicapsMatos!$N$7=A382,1,0)</f>
        <v>0</v>
      </c>
      <c r="E382">
        <f>IF(AtoutsHandicapsMatos!$N$8=A382,1,0)</f>
        <v>0</v>
      </c>
      <c r="F382">
        <f>IF(AtoutsHandicapsMatos!$N$9=A382,1,0)</f>
        <v>0</v>
      </c>
      <c r="G382">
        <f>IF(AtoutsHandicapsMatos!$O$10=A382,1,0)</f>
        <v>0</v>
      </c>
      <c r="H382">
        <f>IF(AtoutsHandicapsMatos!$O$11=A382,1,0)</f>
        <v>0</v>
      </c>
      <c r="I382">
        <f>IF(AtoutsHandicapsMatos!$O$12=A382,1,0)</f>
        <v>0</v>
      </c>
      <c r="J382">
        <f>IF(AtoutsHandicapsMatos!$N$13=A382,1,0)</f>
        <v>0</v>
      </c>
      <c r="K382">
        <f>IF(AtoutsHandicapsMatos!$N$14=A382,1,0)</f>
        <v>0</v>
      </c>
      <c r="L382">
        <f>IF('Perso Reloaded'!$L$30=A382,1,0)</f>
        <v>0</v>
      </c>
      <c r="M382">
        <f>IF('Perso Reloaded'!$L$31=A382,1,0)</f>
        <v>0</v>
      </c>
      <c r="N382">
        <f>IF('Perso Reloaded'!$L$32=A382,1,0)</f>
        <v>0</v>
      </c>
      <c r="O382">
        <f>IF('Perso Reloaded'!$L$33=A382,1,0)</f>
        <v>0</v>
      </c>
      <c r="P382">
        <f>IF('Perso Reloaded'!$L$34=A382,1,0)</f>
        <v>0</v>
      </c>
      <c r="Q382">
        <f>IF('Perso Reloaded'!$L$35=A382,1,0)</f>
        <v>0</v>
      </c>
      <c r="R382">
        <f>IF('Perso Reloaded'!$L$36=A382,1,0)</f>
        <v>0</v>
      </c>
      <c r="S382">
        <f>IF('Perso Reloaded'!$L$37=A382,1,0)</f>
        <v>0</v>
      </c>
      <c r="T382">
        <f t="shared" si="20"/>
        <v>0</v>
      </c>
      <c r="U382" t="b">
        <f t="shared" si="19"/>
        <v>0</v>
      </c>
    </row>
    <row r="383" spans="1:21" x14ac:dyDescent="0.3">
      <c r="A383" s="65" t="str">
        <f>IF(OR(SexePerso="Féminin",'Perso Reloaded'!$C$6="Féminin"),"Dégénérescence (normale)","Dégénérescence (normal)")</f>
        <v>Dégénérescence (normal)</v>
      </c>
      <c r="B383">
        <f>IF(AtoutsHandicapsMatos!$N$5=A383,1,0)</f>
        <v>0</v>
      </c>
      <c r="C383">
        <f>IF(AtoutsHandicapsMatos!$N$6=A383,1,0)</f>
        <v>0</v>
      </c>
      <c r="D383">
        <f>IF(AtoutsHandicapsMatos!$N$7=A383,1,0)</f>
        <v>0</v>
      </c>
      <c r="E383">
        <f>IF(AtoutsHandicapsMatos!$N$8=A383,1,0)</f>
        <v>0</v>
      </c>
      <c r="F383">
        <f>IF(AtoutsHandicapsMatos!$N$9=A383,1,0)</f>
        <v>0</v>
      </c>
      <c r="G383">
        <f>IF(AtoutsHandicapsMatos!$O$10=A383,1,0)</f>
        <v>0</v>
      </c>
      <c r="H383">
        <f>IF(AtoutsHandicapsMatos!$O$11=A383,1,0)</f>
        <v>0</v>
      </c>
      <c r="I383">
        <f>IF(AtoutsHandicapsMatos!$O$12=A383,1,0)</f>
        <v>0</v>
      </c>
      <c r="J383">
        <f>IF(AtoutsHandicapsMatos!$N$13=A383,1,0)</f>
        <v>0</v>
      </c>
      <c r="K383">
        <f>IF(AtoutsHandicapsMatos!$N$14=A383,1,0)</f>
        <v>0</v>
      </c>
      <c r="L383">
        <f>IF('Perso Reloaded'!$L$30=A383,1,0)</f>
        <v>0</v>
      </c>
      <c r="M383">
        <f>IF('Perso Reloaded'!$L$31=A383,1,0)</f>
        <v>0</v>
      </c>
      <c r="N383">
        <f>IF('Perso Reloaded'!$L$32=A383,1,0)</f>
        <v>0</v>
      </c>
      <c r="O383">
        <f>IF('Perso Reloaded'!$L$33=A383,1,0)</f>
        <v>0</v>
      </c>
      <c r="P383">
        <f>IF('Perso Reloaded'!$L$34=A383,1,0)</f>
        <v>0</v>
      </c>
      <c r="Q383">
        <f>IF('Perso Reloaded'!$L$35=A383,1,0)</f>
        <v>0</v>
      </c>
      <c r="R383">
        <f>IF('Perso Reloaded'!$L$36=A383,1,0)</f>
        <v>0</v>
      </c>
      <c r="S383">
        <f>IF('Perso Reloaded'!$L$37=A383,1,0)</f>
        <v>0</v>
      </c>
      <c r="T383">
        <f t="shared" si="20"/>
        <v>0</v>
      </c>
      <c r="U383" t="b">
        <f t="shared" si="19"/>
        <v>0</v>
      </c>
    </row>
    <row r="384" spans="1:21" x14ac:dyDescent="0.3">
      <c r="A384" s="65" t="str">
        <f>IF(OR(SexePerso="Féminin",'Perso Reloaded'!$C$6="Féminin"),"Dégénérescence (palote)","Dégénérescence (palot)")</f>
        <v>Dégénérescence (palot)</v>
      </c>
      <c r="B384">
        <f>IF(AtoutsHandicapsMatos!$N$5=A384,1,0)</f>
        <v>0</v>
      </c>
      <c r="C384">
        <f>IF(AtoutsHandicapsMatos!$N$6=A384,1,0)</f>
        <v>0</v>
      </c>
      <c r="D384">
        <f>IF(AtoutsHandicapsMatos!$N$7=A384,1,0)</f>
        <v>0</v>
      </c>
      <c r="E384">
        <f>IF(AtoutsHandicapsMatos!$N$8=A384,1,0)</f>
        <v>0</v>
      </c>
      <c r="F384">
        <f>IF(AtoutsHandicapsMatos!$N$9=A384,1,0)</f>
        <v>0</v>
      </c>
      <c r="G384">
        <f>IF(AtoutsHandicapsMatos!$O$10=A384,1,0)</f>
        <v>0</v>
      </c>
      <c r="H384">
        <f>IF(AtoutsHandicapsMatos!$O$11=A384,1,0)</f>
        <v>0</v>
      </c>
      <c r="I384">
        <f>IF(AtoutsHandicapsMatos!$O$12=A384,1,0)</f>
        <v>0</v>
      </c>
      <c r="J384">
        <f>IF(AtoutsHandicapsMatos!$N$13=A384,1,0)</f>
        <v>0</v>
      </c>
      <c r="K384">
        <f>IF(AtoutsHandicapsMatos!$N$14=A384,1,0)</f>
        <v>0</v>
      </c>
      <c r="L384">
        <f>IF('Perso Reloaded'!$L$30=A384,1,0)</f>
        <v>0</v>
      </c>
      <c r="M384">
        <f>IF('Perso Reloaded'!$L$31=A384,1,0)</f>
        <v>0</v>
      </c>
      <c r="N384">
        <f>IF('Perso Reloaded'!$L$32=A384,1,0)</f>
        <v>0</v>
      </c>
      <c r="O384">
        <f>IF('Perso Reloaded'!$L$33=A384,1,0)</f>
        <v>0</v>
      </c>
      <c r="P384">
        <f>IF('Perso Reloaded'!$L$34=A384,1,0)</f>
        <v>0</v>
      </c>
      <c r="Q384">
        <f>IF('Perso Reloaded'!$L$35=A384,1,0)</f>
        <v>0</v>
      </c>
      <c r="R384">
        <f>IF('Perso Reloaded'!$L$36=A384,1,0)</f>
        <v>0</v>
      </c>
      <c r="S384">
        <f>IF('Perso Reloaded'!$L$37=A384,1,0)</f>
        <v>0</v>
      </c>
      <c r="T384">
        <f t="shared" si="20"/>
        <v>0</v>
      </c>
      <c r="U384" t="b">
        <f t="shared" si="19"/>
        <v>0</v>
      </c>
    </row>
    <row r="385" spans="1:21" x14ac:dyDescent="0.3">
      <c r="A385" s="65" t="str">
        <f>IF(OR(SexePerso="Féminin",'Perso Reloaded'!$C$6="Féminin"),"Dégénérescence (gluante)","Dégénérescence (gluant)")</f>
        <v>Dégénérescence (gluant)</v>
      </c>
      <c r="B385">
        <f>IF(AtoutsHandicapsMatos!$N$5=A385,1,0)</f>
        <v>0</v>
      </c>
      <c r="C385">
        <f>IF(AtoutsHandicapsMatos!$N$6=A385,1,0)</f>
        <v>0</v>
      </c>
      <c r="D385">
        <f>IF(AtoutsHandicapsMatos!$N$7=A385,1,0)</f>
        <v>0</v>
      </c>
      <c r="E385">
        <f>IF(AtoutsHandicapsMatos!$N$8=A385,1,0)</f>
        <v>0</v>
      </c>
      <c r="F385">
        <f>IF(AtoutsHandicapsMatos!$N$9=A385,1,0)</f>
        <v>0</v>
      </c>
      <c r="G385">
        <f>IF(AtoutsHandicapsMatos!$O$10=A385,1,0)</f>
        <v>0</v>
      </c>
      <c r="H385">
        <f>IF(AtoutsHandicapsMatos!$O$11=A385,1,0)</f>
        <v>0</v>
      </c>
      <c r="I385">
        <f>IF(AtoutsHandicapsMatos!$O$12=A385,1,0)</f>
        <v>0</v>
      </c>
      <c r="J385">
        <f>IF(AtoutsHandicapsMatos!$N$13=A385,1,0)</f>
        <v>0</v>
      </c>
      <c r="K385">
        <f>IF(AtoutsHandicapsMatos!$N$14=A385,1,0)</f>
        <v>0</v>
      </c>
      <c r="L385">
        <f>IF('Perso Reloaded'!$L$30=A385,1,0)</f>
        <v>0</v>
      </c>
      <c r="M385">
        <f>IF('Perso Reloaded'!$L$31=A385,1,0)</f>
        <v>0</v>
      </c>
      <c r="N385">
        <f>IF('Perso Reloaded'!$L$32=A385,1,0)</f>
        <v>0</v>
      </c>
      <c r="O385">
        <f>IF('Perso Reloaded'!$L$33=A385,1,0)</f>
        <v>0</v>
      </c>
      <c r="P385">
        <f>IF('Perso Reloaded'!$L$34=A385,1,0)</f>
        <v>0</v>
      </c>
      <c r="Q385">
        <f>IF('Perso Reloaded'!$L$35=A385,1,0)</f>
        <v>0</v>
      </c>
      <c r="R385">
        <f>IF('Perso Reloaded'!$L$36=A385,1,0)</f>
        <v>0</v>
      </c>
      <c r="S385">
        <f>IF('Perso Reloaded'!$L$37=A385,1,0)</f>
        <v>0</v>
      </c>
      <c r="T385">
        <f t="shared" si="20"/>
        <v>0</v>
      </c>
      <c r="U385" t="b">
        <f t="shared" si="19"/>
        <v>0</v>
      </c>
    </row>
    <row r="386" spans="1:21" x14ac:dyDescent="0.3">
      <c r="A386" s="65" t="str">
        <f>IF(OR(SexePerso="Féminin",'Perso Reloaded'!$C$6="Féminin"),"Dégénérescence (boursouflée)","Dégénérescence (boursouflé)")</f>
        <v>Dégénérescence (boursouflé)</v>
      </c>
      <c r="B386">
        <f>IF(AtoutsHandicapsMatos!$N$5=A386,1,0)</f>
        <v>0</v>
      </c>
      <c r="C386">
        <f>IF(AtoutsHandicapsMatos!$N$6=A386,1,0)</f>
        <v>0</v>
      </c>
      <c r="D386">
        <f>IF(AtoutsHandicapsMatos!$N$7=A386,1,0)</f>
        <v>0</v>
      </c>
      <c r="E386">
        <f>IF(AtoutsHandicapsMatos!$N$8=A386,1,0)</f>
        <v>0</v>
      </c>
      <c r="F386">
        <f>IF(AtoutsHandicapsMatos!$N$9=A386,1,0)</f>
        <v>0</v>
      </c>
      <c r="G386">
        <f>IF(AtoutsHandicapsMatos!$O$10=A386,1,0)</f>
        <v>0</v>
      </c>
      <c r="H386">
        <f>IF(AtoutsHandicapsMatos!$O$11=A386,1,0)</f>
        <v>0</v>
      </c>
      <c r="I386">
        <f>IF(AtoutsHandicapsMatos!$O$12=A386,1,0)</f>
        <v>0</v>
      </c>
      <c r="J386">
        <f>IF(AtoutsHandicapsMatos!$N$13=A386,1,0)</f>
        <v>0</v>
      </c>
      <c r="K386">
        <f>IF(AtoutsHandicapsMatos!$N$14=A386,1,0)</f>
        <v>0</v>
      </c>
      <c r="L386">
        <f>IF('Perso Reloaded'!$L$30=A386,1,0)</f>
        <v>0</v>
      </c>
      <c r="M386">
        <f>IF('Perso Reloaded'!$L$31=A386,1,0)</f>
        <v>0</v>
      </c>
      <c r="N386">
        <f>IF('Perso Reloaded'!$L$32=A386,1,0)</f>
        <v>0</v>
      </c>
      <c r="O386">
        <f>IF('Perso Reloaded'!$L$33=A386,1,0)</f>
        <v>0</v>
      </c>
      <c r="P386">
        <f>IF('Perso Reloaded'!$L$34=A386,1,0)</f>
        <v>0</v>
      </c>
      <c r="Q386">
        <f>IF('Perso Reloaded'!$L$35=A386,1,0)</f>
        <v>0</v>
      </c>
      <c r="R386">
        <f>IF('Perso Reloaded'!$L$36=A386,1,0)</f>
        <v>0</v>
      </c>
      <c r="S386">
        <f>IF('Perso Reloaded'!$L$37=A386,1,0)</f>
        <v>0</v>
      </c>
      <c r="T386">
        <f t="shared" si="20"/>
        <v>0</v>
      </c>
      <c r="U386" t="b">
        <f t="shared" si="19"/>
        <v>0</v>
      </c>
    </row>
    <row r="387" spans="1:21" x14ac:dyDescent="0.3">
      <c r="A387" s="65" t="str">
        <f>IF(OR(SexePerso="Féminin",'Perso Reloaded'!$C$6="Féminin"),"Dégénérescence (pelée)","Dégénérescence (pelé)")</f>
        <v>Dégénérescence (pelé)</v>
      </c>
      <c r="B387">
        <f>IF(AtoutsHandicapsMatos!$N$5=A387,1,0)</f>
        <v>0</v>
      </c>
      <c r="C387">
        <f>IF(AtoutsHandicapsMatos!$N$6=A387,1,0)</f>
        <v>0</v>
      </c>
      <c r="D387">
        <f>IF(AtoutsHandicapsMatos!$N$7=A387,1,0)</f>
        <v>0</v>
      </c>
      <c r="E387">
        <f>IF(AtoutsHandicapsMatos!$N$8=A387,1,0)</f>
        <v>0</v>
      </c>
      <c r="F387">
        <f>IF(AtoutsHandicapsMatos!$N$9=A387,1,0)</f>
        <v>0</v>
      </c>
      <c r="G387">
        <f>IF(AtoutsHandicapsMatos!$O$10=A387,1,0)</f>
        <v>0</v>
      </c>
      <c r="H387">
        <f>IF(AtoutsHandicapsMatos!$O$11=A387,1,0)</f>
        <v>0</v>
      </c>
      <c r="I387">
        <f>IF(AtoutsHandicapsMatos!$O$12=A387,1,0)</f>
        <v>0</v>
      </c>
      <c r="J387">
        <f>IF(AtoutsHandicapsMatos!$N$13=A387,1,0)</f>
        <v>0</v>
      </c>
      <c r="K387">
        <f>IF(AtoutsHandicapsMatos!$N$14=A387,1,0)</f>
        <v>0</v>
      </c>
      <c r="L387">
        <f>IF('Perso Reloaded'!$L$30=A387,1,0)</f>
        <v>0</v>
      </c>
      <c r="M387">
        <f>IF('Perso Reloaded'!$L$31=A387,1,0)</f>
        <v>0</v>
      </c>
      <c r="N387">
        <f>IF('Perso Reloaded'!$L$32=A387,1,0)</f>
        <v>0</v>
      </c>
      <c r="O387">
        <f>IF('Perso Reloaded'!$L$33=A387,1,0)</f>
        <v>0</v>
      </c>
      <c r="P387">
        <f>IF('Perso Reloaded'!$L$34=A387,1,0)</f>
        <v>0</v>
      </c>
      <c r="Q387">
        <f>IF('Perso Reloaded'!$L$35=A387,1,0)</f>
        <v>0</v>
      </c>
      <c r="R387">
        <f>IF('Perso Reloaded'!$L$36=A387,1,0)</f>
        <v>0</v>
      </c>
      <c r="S387">
        <f>IF('Perso Reloaded'!$L$37=A387,1,0)</f>
        <v>0</v>
      </c>
      <c r="T387">
        <f t="shared" si="20"/>
        <v>0</v>
      </c>
      <c r="U387" t="b">
        <f t="shared" si="19"/>
        <v>0</v>
      </c>
    </row>
    <row r="388" spans="1:21" x14ac:dyDescent="0.3">
      <c r="A388" s="65" t="str">
        <f>IF(OR(SexePerso="Féminin",'Perso Reloaded'!$C$6="Féminin"),"Dégénérescence (déséchée)","Dégénérescence (déséché)")</f>
        <v>Dégénérescence (déséché)</v>
      </c>
      <c r="B388">
        <f>IF(AtoutsHandicapsMatos!$N$5=A388,1,0)</f>
        <v>0</v>
      </c>
      <c r="C388">
        <f>IF(AtoutsHandicapsMatos!$N$6=A388,1,0)</f>
        <v>0</v>
      </c>
      <c r="D388">
        <f>IF(AtoutsHandicapsMatos!$N$7=A388,1,0)</f>
        <v>0</v>
      </c>
      <c r="E388">
        <f>IF(AtoutsHandicapsMatos!$N$8=A388,1,0)</f>
        <v>0</v>
      </c>
      <c r="F388">
        <f>IF(AtoutsHandicapsMatos!$N$9=A388,1,0)</f>
        <v>0</v>
      </c>
      <c r="G388">
        <f>IF(AtoutsHandicapsMatos!$O$10=A388,1,0)</f>
        <v>0</v>
      </c>
      <c r="H388">
        <f>IF(AtoutsHandicapsMatos!$O$11=A388,1,0)</f>
        <v>0</v>
      </c>
      <c r="I388">
        <f>IF(AtoutsHandicapsMatos!$O$12=A388,1,0)</f>
        <v>0</v>
      </c>
      <c r="J388">
        <f>IF(AtoutsHandicapsMatos!$N$13=A388,1,0)</f>
        <v>0</v>
      </c>
      <c r="K388">
        <f>IF(AtoutsHandicapsMatos!$N$14=A388,1,0)</f>
        <v>0</v>
      </c>
      <c r="L388">
        <f>IF('Perso Reloaded'!$L$30=A388,1,0)</f>
        <v>0</v>
      </c>
      <c r="M388">
        <f>IF('Perso Reloaded'!$L$31=A388,1,0)</f>
        <v>0</v>
      </c>
      <c r="N388">
        <f>IF('Perso Reloaded'!$L$32=A388,1,0)</f>
        <v>0</v>
      </c>
      <c r="O388">
        <f>IF('Perso Reloaded'!$L$33=A388,1,0)</f>
        <v>0</v>
      </c>
      <c r="P388">
        <f>IF('Perso Reloaded'!$L$34=A388,1,0)</f>
        <v>0</v>
      </c>
      <c r="Q388">
        <f>IF('Perso Reloaded'!$L$35=A388,1,0)</f>
        <v>0</v>
      </c>
      <c r="R388">
        <f>IF('Perso Reloaded'!$L$36=A388,1,0)</f>
        <v>0</v>
      </c>
      <c r="S388">
        <f>IF('Perso Reloaded'!$L$37=A388,1,0)</f>
        <v>0</v>
      </c>
      <c r="T388">
        <f t="shared" si="20"/>
        <v>0</v>
      </c>
      <c r="U388" t="b">
        <f t="shared" si="19"/>
        <v>0</v>
      </c>
    </row>
    <row r="389" spans="1:21" x14ac:dyDescent="0.3">
      <c r="A389" s="65" t="str">
        <f>IF(OR(SexePerso="Féminin",'Perso Reloaded'!$C$6="Féminin"),"Déloyale","Déloyal")</f>
        <v>Déloyal</v>
      </c>
      <c r="B389">
        <f>IF(AtoutsHandicapsMatos!$N$5=A389,1,0)</f>
        <v>0</v>
      </c>
      <c r="C389">
        <f>IF(AtoutsHandicapsMatos!$N$6=A389,1,0)</f>
        <v>0</v>
      </c>
      <c r="D389">
        <f>IF(AtoutsHandicapsMatos!$N$7=A389,1,0)</f>
        <v>0</v>
      </c>
      <c r="E389">
        <f>IF(AtoutsHandicapsMatos!$N$8=A389,1,0)</f>
        <v>0</v>
      </c>
      <c r="F389">
        <f>IF(AtoutsHandicapsMatos!$N$9=A389,1,0)</f>
        <v>0</v>
      </c>
      <c r="G389">
        <f>IF(AtoutsHandicapsMatos!$O$10=A389,1,0)</f>
        <v>0</v>
      </c>
      <c r="H389">
        <f>IF(AtoutsHandicapsMatos!$O$11=A389,1,0)</f>
        <v>0</v>
      </c>
      <c r="I389">
        <f>IF(AtoutsHandicapsMatos!$O$12=A389,1,0)</f>
        <v>0</v>
      </c>
      <c r="J389">
        <f>IF(AtoutsHandicapsMatos!$N$13=A389,1,0)</f>
        <v>0</v>
      </c>
      <c r="K389">
        <f>IF(AtoutsHandicapsMatos!$N$14=A389,1,0)</f>
        <v>0</v>
      </c>
      <c r="L389">
        <f>IF('Perso Reloaded'!$L$30=A389,1,0)</f>
        <v>0</v>
      </c>
      <c r="M389">
        <f>IF('Perso Reloaded'!$L$31=A389,1,0)</f>
        <v>0</v>
      </c>
      <c r="N389">
        <f>IF('Perso Reloaded'!$L$32=A389,1,0)</f>
        <v>0</v>
      </c>
      <c r="O389">
        <f>IF('Perso Reloaded'!$L$33=A389,1,0)</f>
        <v>0</v>
      </c>
      <c r="P389">
        <f>IF('Perso Reloaded'!$L$34=A389,1,0)</f>
        <v>0</v>
      </c>
      <c r="Q389">
        <f>IF('Perso Reloaded'!$L$35=A389,1,0)</f>
        <v>0</v>
      </c>
      <c r="R389">
        <f>IF('Perso Reloaded'!$L$36=A389,1,0)</f>
        <v>0</v>
      </c>
      <c r="S389">
        <f>IF('Perso Reloaded'!$L$37=A389,1,0)</f>
        <v>0</v>
      </c>
      <c r="T389">
        <f t="shared" si="20"/>
        <v>0</v>
      </c>
      <c r="U389" t="b">
        <f t="shared" si="19"/>
        <v>0</v>
      </c>
    </row>
    <row r="390" spans="1:21" x14ac:dyDescent="0.3">
      <c r="A390" s="65" t="s">
        <v>3649</v>
      </c>
      <c r="B390">
        <f>IF(AtoutsHandicapsMatos!$N$5=A390,1,0)</f>
        <v>0</v>
      </c>
      <c r="C390">
        <f>IF(AtoutsHandicapsMatos!$N$6=A390,1,0)</f>
        <v>0</v>
      </c>
      <c r="D390">
        <f>IF(AtoutsHandicapsMatos!$N$7=A390,1,0)</f>
        <v>0</v>
      </c>
      <c r="E390">
        <f>IF(AtoutsHandicapsMatos!$N$8=A390,1,0)</f>
        <v>0</v>
      </c>
      <c r="F390">
        <f>IF(AtoutsHandicapsMatos!$N$9=A390,1,0)</f>
        <v>0</v>
      </c>
      <c r="G390">
        <f>IF(AtoutsHandicapsMatos!$O$10=A390,1,0)</f>
        <v>0</v>
      </c>
      <c r="H390">
        <f>IF(AtoutsHandicapsMatos!$O$11=A390,1,0)</f>
        <v>0</v>
      </c>
      <c r="I390">
        <f>IF(AtoutsHandicapsMatos!$O$12=A390,1,0)</f>
        <v>0</v>
      </c>
      <c r="J390">
        <f>IF(AtoutsHandicapsMatos!$N$13=A390,1,0)</f>
        <v>0</v>
      </c>
      <c r="K390">
        <f>IF(AtoutsHandicapsMatos!$N$14=A390,1,0)</f>
        <v>0</v>
      </c>
      <c r="L390">
        <f>IF('Perso Reloaded'!$L$30=A390,1,0)</f>
        <v>0</v>
      </c>
      <c r="M390">
        <f>IF('Perso Reloaded'!$L$31=A390,1,0)</f>
        <v>0</v>
      </c>
      <c r="N390">
        <f>IF('Perso Reloaded'!$L$32=A390,1,0)</f>
        <v>0</v>
      </c>
      <c r="O390">
        <f>IF('Perso Reloaded'!$L$33=A390,1,0)</f>
        <v>0</v>
      </c>
      <c r="P390">
        <f>IF('Perso Reloaded'!$L$34=A390,1,0)</f>
        <v>0</v>
      </c>
      <c r="Q390">
        <f>IF('Perso Reloaded'!$L$35=A390,1,0)</f>
        <v>0</v>
      </c>
      <c r="R390">
        <f>IF('Perso Reloaded'!$L$36=A390,1,0)</f>
        <v>0</v>
      </c>
      <c r="S390">
        <f>IF('Perso Reloaded'!$L$37=A390,1,0)</f>
        <v>0</v>
      </c>
      <c r="T390">
        <f t="shared" si="20"/>
        <v>0</v>
      </c>
      <c r="U390" t="b">
        <f t="shared" si="19"/>
        <v>0</v>
      </c>
    </row>
    <row r="391" spans="1:21" x14ac:dyDescent="0.3">
      <c r="A391" s="65" t="s">
        <v>4870</v>
      </c>
      <c r="B391">
        <f>IF(AtoutsHandicapsMatos!$N$5=A391,1,0)</f>
        <v>0</v>
      </c>
      <c r="C391">
        <f>IF(AtoutsHandicapsMatos!$N$6=A391,1,0)</f>
        <v>0</v>
      </c>
      <c r="D391">
        <f>IF(AtoutsHandicapsMatos!$N$7=A391,1,0)</f>
        <v>0</v>
      </c>
      <c r="E391">
        <f>IF(AtoutsHandicapsMatos!$N$8=A391,1,0)</f>
        <v>0</v>
      </c>
      <c r="F391">
        <f>IF(AtoutsHandicapsMatos!$N$9=A391,1,0)</f>
        <v>0</v>
      </c>
      <c r="G391">
        <f>IF(AtoutsHandicapsMatos!$O$10=A391,1,0)</f>
        <v>0</v>
      </c>
      <c r="H391">
        <f>IF(AtoutsHandicapsMatos!$O$11=A391,1,0)</f>
        <v>0</v>
      </c>
      <c r="I391">
        <f>IF(AtoutsHandicapsMatos!$O$12=A391,1,0)</f>
        <v>0</v>
      </c>
      <c r="J391">
        <f>IF(AtoutsHandicapsMatos!$N$13=A391,1,0)</f>
        <v>0</v>
      </c>
      <c r="K391">
        <f>IF(AtoutsHandicapsMatos!$N$14=A391,1,0)</f>
        <v>0</v>
      </c>
      <c r="L391">
        <f>IF('Perso Reloaded'!$L$30=A391,1,0)</f>
        <v>0</v>
      </c>
      <c r="M391">
        <f>IF('Perso Reloaded'!$L$31=A391,1,0)</f>
        <v>0</v>
      </c>
      <c r="N391">
        <f>IF('Perso Reloaded'!$L$32=A391,1,0)</f>
        <v>0</v>
      </c>
      <c r="O391">
        <f>IF('Perso Reloaded'!$L$33=A391,1,0)</f>
        <v>0</v>
      </c>
      <c r="P391">
        <f>IF('Perso Reloaded'!$L$34=A391,1,0)</f>
        <v>0</v>
      </c>
      <c r="Q391">
        <f>IF('Perso Reloaded'!$L$35=A391,1,0)</f>
        <v>0</v>
      </c>
      <c r="R391">
        <f>IF('Perso Reloaded'!$L$36=A391,1,0)</f>
        <v>0</v>
      </c>
      <c r="S391">
        <f>IF('Perso Reloaded'!$L$37=A391,1,0)</f>
        <v>0</v>
      </c>
      <c r="T391">
        <f t="shared" si="20"/>
        <v>0</v>
      </c>
      <c r="U391" t="b">
        <f t="shared" si="19"/>
        <v>0</v>
      </c>
    </row>
    <row r="392" spans="1:21" x14ac:dyDescent="0.3">
      <c r="A392" s="65" t="str">
        <f>IF(OR(SexePerso="Féminin",'Perso Reloaded'!$C$6="Féminin"),"Discrète comme pas un (faiblement)","Discret comme pas un (faiblement)")</f>
        <v>Discret comme pas un (faiblement)</v>
      </c>
      <c r="B392">
        <f>IF(AtoutsHandicapsMatos!$N$5=A392,1,0)</f>
        <v>0</v>
      </c>
      <c r="C392">
        <f>IF(AtoutsHandicapsMatos!$N$6=A392,1,0)</f>
        <v>0</v>
      </c>
      <c r="D392">
        <f>IF(AtoutsHandicapsMatos!$N$7=A392,1,0)</f>
        <v>0</v>
      </c>
      <c r="E392">
        <f>IF(AtoutsHandicapsMatos!$N$8=A392,1,0)</f>
        <v>0</v>
      </c>
      <c r="F392">
        <f>IF(AtoutsHandicapsMatos!$N$9=A392,1,0)</f>
        <v>0</v>
      </c>
      <c r="G392">
        <f>IF(AtoutsHandicapsMatos!$O$10=A392,1,0)</f>
        <v>0</v>
      </c>
      <c r="H392">
        <f>IF(AtoutsHandicapsMatos!$O$11=A392,1,0)</f>
        <v>0</v>
      </c>
      <c r="I392">
        <f>IF(AtoutsHandicapsMatos!$O$12=A392,1,0)</f>
        <v>0</v>
      </c>
      <c r="J392">
        <f>IF(AtoutsHandicapsMatos!$N$13=A392,1,0)</f>
        <v>0</v>
      </c>
      <c r="K392">
        <f>IF(AtoutsHandicapsMatos!$N$14=A392,1,0)</f>
        <v>0</v>
      </c>
      <c r="L392">
        <f>IF('Perso Reloaded'!$L$30=A392,1,0)</f>
        <v>0</v>
      </c>
      <c r="M392">
        <f>IF('Perso Reloaded'!$L$31=A392,1,0)</f>
        <v>0</v>
      </c>
      <c r="N392">
        <f>IF('Perso Reloaded'!$L$32=A392,1,0)</f>
        <v>0</v>
      </c>
      <c r="O392">
        <f>IF('Perso Reloaded'!$L$33=A392,1,0)</f>
        <v>0</v>
      </c>
      <c r="P392">
        <f>IF('Perso Reloaded'!$L$34=A392,1,0)</f>
        <v>0</v>
      </c>
      <c r="Q392">
        <f>IF('Perso Reloaded'!$L$35=A392,1,0)</f>
        <v>0</v>
      </c>
      <c r="R392">
        <f>IF('Perso Reloaded'!$L$36=A392,1,0)</f>
        <v>0</v>
      </c>
      <c r="S392">
        <f>IF('Perso Reloaded'!$L$37=A392,1,0)</f>
        <v>0</v>
      </c>
      <c r="T392">
        <f t="shared" si="20"/>
        <v>0</v>
      </c>
      <c r="U392" t="b">
        <f t="shared" si="19"/>
        <v>0</v>
      </c>
    </row>
    <row r="393" spans="1:21" x14ac:dyDescent="0.3">
      <c r="A393" s="65" t="str">
        <f>IF(OR(SexePerso="Féminin",'Perso Reloaded'!$C$6="Féminin"),"Discrète comme pas un (moyennement)","Discret comme pas un (moyennement)")</f>
        <v>Discret comme pas un (moyennement)</v>
      </c>
      <c r="B393">
        <f>IF(AtoutsHandicapsMatos!$N$5=A393,1,0)</f>
        <v>0</v>
      </c>
      <c r="C393">
        <f>IF(AtoutsHandicapsMatos!$N$6=A393,1,0)</f>
        <v>0</v>
      </c>
      <c r="D393">
        <f>IF(AtoutsHandicapsMatos!$N$7=A393,1,0)</f>
        <v>0</v>
      </c>
      <c r="E393">
        <f>IF(AtoutsHandicapsMatos!$N$8=A393,1,0)</f>
        <v>0</v>
      </c>
      <c r="F393">
        <f>IF(AtoutsHandicapsMatos!$N$9=A393,1,0)</f>
        <v>0</v>
      </c>
      <c r="G393">
        <f>IF(AtoutsHandicapsMatos!$O$10=A393,1,0)</f>
        <v>0</v>
      </c>
      <c r="H393">
        <f>IF(AtoutsHandicapsMatos!$O$11=A393,1,0)</f>
        <v>0</v>
      </c>
      <c r="I393">
        <f>IF(AtoutsHandicapsMatos!$O$12=A393,1,0)</f>
        <v>0</v>
      </c>
      <c r="J393">
        <f>IF(AtoutsHandicapsMatos!$N$13=A393,1,0)</f>
        <v>0</v>
      </c>
      <c r="K393">
        <f>IF(AtoutsHandicapsMatos!$N$14=A393,1,0)</f>
        <v>0</v>
      </c>
      <c r="L393">
        <f>IF('Perso Reloaded'!$L$30=A393,1,0)</f>
        <v>0</v>
      </c>
      <c r="M393">
        <f>IF('Perso Reloaded'!$L$31=A393,1,0)</f>
        <v>0</v>
      </c>
      <c r="N393">
        <f>IF('Perso Reloaded'!$L$32=A393,1,0)</f>
        <v>0</v>
      </c>
      <c r="O393">
        <f>IF('Perso Reloaded'!$L$33=A393,1,0)</f>
        <v>0</v>
      </c>
      <c r="P393">
        <f>IF('Perso Reloaded'!$L$34=A393,1,0)</f>
        <v>0</v>
      </c>
      <c r="Q393">
        <f>IF('Perso Reloaded'!$L$35=A393,1,0)</f>
        <v>0</v>
      </c>
      <c r="R393">
        <f>IF('Perso Reloaded'!$L$36=A393,1,0)</f>
        <v>0</v>
      </c>
      <c r="S393">
        <f>IF('Perso Reloaded'!$L$37=A393,1,0)</f>
        <v>0</v>
      </c>
      <c r="T393">
        <f t="shared" si="20"/>
        <v>0</v>
      </c>
      <c r="U393" t="b">
        <f t="shared" si="19"/>
        <v>0</v>
      </c>
    </row>
    <row r="394" spans="1:21" x14ac:dyDescent="0.3">
      <c r="A394" s="65" t="str">
        <f>IF(OR(SexePerso="Féminin",'Perso Reloaded'!$C$6="Féminin"),"Discrète comme pas un (fortemment)","Discret comme pas un (fortemment)")</f>
        <v>Discret comme pas un (fortemment)</v>
      </c>
      <c r="B394">
        <f>IF(AtoutsHandicapsMatos!$N$5=A394,1,0)</f>
        <v>0</v>
      </c>
      <c r="C394">
        <f>IF(AtoutsHandicapsMatos!$N$6=A394,1,0)</f>
        <v>0</v>
      </c>
      <c r="D394">
        <f>IF(AtoutsHandicapsMatos!$N$7=A394,1,0)</f>
        <v>0</v>
      </c>
      <c r="E394">
        <f>IF(AtoutsHandicapsMatos!$N$8=A394,1,0)</f>
        <v>0</v>
      </c>
      <c r="F394">
        <f>IF(AtoutsHandicapsMatos!$N$9=A394,1,0)</f>
        <v>0</v>
      </c>
      <c r="G394">
        <f>IF(AtoutsHandicapsMatos!$O$10=A394,1,0)</f>
        <v>0</v>
      </c>
      <c r="H394">
        <f>IF(AtoutsHandicapsMatos!$O$11=A394,1,0)</f>
        <v>0</v>
      </c>
      <c r="I394">
        <f>IF(AtoutsHandicapsMatos!$O$12=A394,1,0)</f>
        <v>0</v>
      </c>
      <c r="J394">
        <f>IF(AtoutsHandicapsMatos!$N$13=A394,1,0)</f>
        <v>0</v>
      </c>
      <c r="K394">
        <f>IF(AtoutsHandicapsMatos!$N$14=A394,1,0)</f>
        <v>0</v>
      </c>
      <c r="L394">
        <f>IF('Perso Reloaded'!$L$30=A394,1,0)</f>
        <v>0</v>
      </c>
      <c r="M394">
        <f>IF('Perso Reloaded'!$L$31=A394,1,0)</f>
        <v>0</v>
      </c>
      <c r="N394">
        <f>IF('Perso Reloaded'!$L$32=A394,1,0)</f>
        <v>0</v>
      </c>
      <c r="O394">
        <f>IF('Perso Reloaded'!$L$33=A394,1,0)</f>
        <v>0</v>
      </c>
      <c r="P394">
        <f>IF('Perso Reloaded'!$L$34=A394,1,0)</f>
        <v>0</v>
      </c>
      <c r="Q394">
        <f>IF('Perso Reloaded'!$L$35=A394,1,0)</f>
        <v>0</v>
      </c>
      <c r="R394">
        <f>IF('Perso Reloaded'!$L$36=A394,1,0)</f>
        <v>0</v>
      </c>
      <c r="S394">
        <f>IF('Perso Reloaded'!$L$37=A394,1,0)</f>
        <v>0</v>
      </c>
      <c r="T394">
        <f t="shared" si="20"/>
        <v>0</v>
      </c>
      <c r="U394" t="b">
        <f t="shared" si="19"/>
        <v>0</v>
      </c>
    </row>
    <row r="395" spans="1:21" x14ac:dyDescent="0.3">
      <c r="A395" s="65" t="str">
        <f>IF(OR(SexePerso="Féminin",'Perso Reloaded'!$C$6="Féminin"),"Discrète comme pas un (immanquable)","Discret comme pas un (immanquable)")</f>
        <v>Discret comme pas un (immanquable)</v>
      </c>
      <c r="B395">
        <f>IF(AtoutsHandicapsMatos!$N$5=A395,1,0)</f>
        <v>0</v>
      </c>
      <c r="C395">
        <f>IF(AtoutsHandicapsMatos!$N$6=A395,1,0)</f>
        <v>0</v>
      </c>
      <c r="D395">
        <f>IF(AtoutsHandicapsMatos!$N$7=A395,1,0)</f>
        <v>0</v>
      </c>
      <c r="E395">
        <f>IF(AtoutsHandicapsMatos!$N$8=A395,1,0)</f>
        <v>0</v>
      </c>
      <c r="F395">
        <f>IF(AtoutsHandicapsMatos!$N$9=A395,1,0)</f>
        <v>0</v>
      </c>
      <c r="G395">
        <f>IF(AtoutsHandicapsMatos!$O$10=A395,1,0)</f>
        <v>0</v>
      </c>
      <c r="H395">
        <f>IF(AtoutsHandicapsMatos!$O$11=A395,1,0)</f>
        <v>0</v>
      </c>
      <c r="I395">
        <f>IF(AtoutsHandicapsMatos!$O$12=A395,1,0)</f>
        <v>0</v>
      </c>
      <c r="J395">
        <f>IF(AtoutsHandicapsMatos!$N$13=A395,1,0)</f>
        <v>0</v>
      </c>
      <c r="K395">
        <f>IF(AtoutsHandicapsMatos!$N$14=A395,1,0)</f>
        <v>0</v>
      </c>
      <c r="L395">
        <f>IF('Perso Reloaded'!$L$30=A395,1,0)</f>
        <v>0</v>
      </c>
      <c r="M395">
        <f>IF('Perso Reloaded'!$L$31=A395,1,0)</f>
        <v>0</v>
      </c>
      <c r="N395">
        <f>IF('Perso Reloaded'!$L$32=A395,1,0)</f>
        <v>0</v>
      </c>
      <c r="O395">
        <f>IF('Perso Reloaded'!$L$33=A395,1,0)</f>
        <v>0</v>
      </c>
      <c r="P395">
        <f>IF('Perso Reloaded'!$L$34=A395,1,0)</f>
        <v>0</v>
      </c>
      <c r="Q395">
        <f>IF('Perso Reloaded'!$L$35=A395,1,0)</f>
        <v>0</v>
      </c>
      <c r="R395">
        <f>IF('Perso Reloaded'!$L$36=A395,1,0)</f>
        <v>0</v>
      </c>
      <c r="S395">
        <f>IF('Perso Reloaded'!$L$37=A395,1,0)</f>
        <v>0</v>
      </c>
      <c r="T395">
        <f t="shared" si="20"/>
        <v>0</v>
      </c>
      <c r="U395" t="b">
        <f t="shared" si="19"/>
        <v>0</v>
      </c>
    </row>
    <row r="396" spans="1:21" x14ac:dyDescent="0.3">
      <c r="A396" s="65" t="str">
        <f>IF(OR(SexePerso="Féminin",'Perso Reloaded'!$C$6="Féminin"),"Discrète comme pas un (spectaculaire)","Discret comme pas un (spectaculaire)")</f>
        <v>Discret comme pas un (spectaculaire)</v>
      </c>
      <c r="B396">
        <f>IF(AtoutsHandicapsMatos!$N$5=A396,1,0)</f>
        <v>0</v>
      </c>
      <c r="C396">
        <f>IF(AtoutsHandicapsMatos!$N$6=A396,1,0)</f>
        <v>0</v>
      </c>
      <c r="D396">
        <f>IF(AtoutsHandicapsMatos!$N$7=A396,1,0)</f>
        <v>0</v>
      </c>
      <c r="E396">
        <f>IF(AtoutsHandicapsMatos!$N$8=A396,1,0)</f>
        <v>0</v>
      </c>
      <c r="F396">
        <f>IF(AtoutsHandicapsMatos!$N$9=A396,1,0)</f>
        <v>0</v>
      </c>
      <c r="G396">
        <f>IF(AtoutsHandicapsMatos!$O$10=A396,1,0)</f>
        <v>0</v>
      </c>
      <c r="H396">
        <f>IF(AtoutsHandicapsMatos!$O$11=A396,1,0)</f>
        <v>0</v>
      </c>
      <c r="I396">
        <f>IF(AtoutsHandicapsMatos!$O$12=A396,1,0)</f>
        <v>0</v>
      </c>
      <c r="J396">
        <f>IF(AtoutsHandicapsMatos!$N$13=A396,1,0)</f>
        <v>0</v>
      </c>
      <c r="K396">
        <f>IF(AtoutsHandicapsMatos!$N$14=A396,1,0)</f>
        <v>0</v>
      </c>
      <c r="L396">
        <f>IF('Perso Reloaded'!$L$30=A396,1,0)</f>
        <v>0</v>
      </c>
      <c r="M396">
        <f>IF('Perso Reloaded'!$L$31=A396,1,0)</f>
        <v>0</v>
      </c>
      <c r="N396">
        <f>IF('Perso Reloaded'!$L$32=A396,1,0)</f>
        <v>0</v>
      </c>
      <c r="O396">
        <f>IF('Perso Reloaded'!$L$33=A396,1,0)</f>
        <v>0</v>
      </c>
      <c r="P396">
        <f>IF('Perso Reloaded'!$L$34=A396,1,0)</f>
        <v>0</v>
      </c>
      <c r="Q396">
        <f>IF('Perso Reloaded'!$L$35=A396,1,0)</f>
        <v>0</v>
      </c>
      <c r="R396">
        <f>IF('Perso Reloaded'!$L$36=A396,1,0)</f>
        <v>0</v>
      </c>
      <c r="S396">
        <f>IF('Perso Reloaded'!$L$37=A396,1,0)</f>
        <v>0</v>
      </c>
      <c r="T396">
        <f t="shared" si="20"/>
        <v>0</v>
      </c>
      <c r="U396" t="b">
        <f t="shared" si="19"/>
        <v>0</v>
      </c>
    </row>
    <row r="397" spans="1:21" x14ac:dyDescent="0.3">
      <c r="A397" s="65" t="str">
        <f>IF(OR(SexePerso="Féminin",'Perso Reloaded'!$C$6="Féminin"),"Douillète/ Petite Nature","Douillet/ Petite Nature")</f>
        <v>Douillet/ Petite Nature</v>
      </c>
      <c r="B397">
        <f>IF(AtoutsHandicapsMatos!$N$5=A397,1,0)</f>
        <v>0</v>
      </c>
      <c r="C397">
        <f>IF(AtoutsHandicapsMatos!$N$6=A397,1,0)</f>
        <v>0</v>
      </c>
      <c r="D397">
        <f>IF(AtoutsHandicapsMatos!$N$7=A397,1,0)</f>
        <v>0</v>
      </c>
      <c r="E397">
        <f>IF(AtoutsHandicapsMatos!$N$8=A397,1,0)</f>
        <v>0</v>
      </c>
      <c r="F397">
        <f>IF(AtoutsHandicapsMatos!$N$9=A397,1,0)</f>
        <v>0</v>
      </c>
      <c r="G397">
        <f>IF(AtoutsHandicapsMatos!$O$10=A397,1,0)</f>
        <v>0</v>
      </c>
      <c r="H397">
        <f>IF(AtoutsHandicapsMatos!$O$11=A397,1,0)</f>
        <v>0</v>
      </c>
      <c r="I397">
        <f>IF(AtoutsHandicapsMatos!$O$12=A397,1,0)</f>
        <v>0</v>
      </c>
      <c r="J397">
        <f>IF(AtoutsHandicapsMatos!$N$13=A397,1,0)</f>
        <v>0</v>
      </c>
      <c r="K397">
        <f>IF(AtoutsHandicapsMatos!$N$14=A397,1,0)</f>
        <v>0</v>
      </c>
      <c r="L397">
        <f>IF('Perso Reloaded'!$L$30=A397,1,0)</f>
        <v>0</v>
      </c>
      <c r="M397">
        <f>IF('Perso Reloaded'!$L$31=A397,1,0)</f>
        <v>0</v>
      </c>
      <c r="N397">
        <f>IF('Perso Reloaded'!$L$32=A397,1,0)</f>
        <v>0</v>
      </c>
      <c r="O397">
        <f>IF('Perso Reloaded'!$L$33=A397,1,0)</f>
        <v>0</v>
      </c>
      <c r="P397">
        <f>IF('Perso Reloaded'!$L$34=A397,1,0)</f>
        <v>0</v>
      </c>
      <c r="Q397">
        <f>IF('Perso Reloaded'!$L$35=A397,1,0)</f>
        <v>0</v>
      </c>
      <c r="R397">
        <f>IF('Perso Reloaded'!$L$36=A397,1,0)</f>
        <v>0</v>
      </c>
      <c r="S397">
        <f>IF('Perso Reloaded'!$L$37=A397,1,0)</f>
        <v>0</v>
      </c>
      <c r="T397">
        <f t="shared" si="20"/>
        <v>0</v>
      </c>
      <c r="U397" t="b">
        <f t="shared" si="19"/>
        <v>0</v>
      </c>
    </row>
    <row r="398" spans="1:21" x14ac:dyDescent="0.3">
      <c r="A398" s="65" t="str">
        <f>IF(OR(SexePerso="Féminin",'Perso Reloaded'!$C$6="Féminin"),"Ecole de Tocards/ Arrogante","Ecole de Tocards/ Arrogant")</f>
        <v>Ecole de Tocards/ Arrogant</v>
      </c>
      <c r="B398">
        <f>IF(AtoutsHandicapsMatos!$N$5=A398,1,0)</f>
        <v>0</v>
      </c>
      <c r="C398">
        <f>IF(AtoutsHandicapsMatos!$N$6=A398,1,0)</f>
        <v>0</v>
      </c>
      <c r="D398">
        <f>IF(AtoutsHandicapsMatos!$N$7=A398,1,0)</f>
        <v>0</v>
      </c>
      <c r="E398">
        <f>IF(AtoutsHandicapsMatos!$N$8=A398,1,0)</f>
        <v>0</v>
      </c>
      <c r="F398">
        <f>IF(AtoutsHandicapsMatos!$N$9=A398,1,0)</f>
        <v>0</v>
      </c>
      <c r="G398">
        <f>IF(AtoutsHandicapsMatos!$O$10=A398,1,0)</f>
        <v>0</v>
      </c>
      <c r="H398">
        <f>IF(AtoutsHandicapsMatos!$O$11=A398,1,0)</f>
        <v>0</v>
      </c>
      <c r="I398">
        <f>IF(AtoutsHandicapsMatos!$O$12=A398,1,0)</f>
        <v>0</v>
      </c>
      <c r="J398">
        <f>IF(AtoutsHandicapsMatos!$N$13=A398,1,0)</f>
        <v>0</v>
      </c>
      <c r="K398">
        <f>IF(AtoutsHandicapsMatos!$N$14=A398,1,0)</f>
        <v>0</v>
      </c>
      <c r="L398">
        <f>IF('Perso Reloaded'!$L$30=A398,1,0)</f>
        <v>0</v>
      </c>
      <c r="M398">
        <f>IF('Perso Reloaded'!$L$31=A398,1,0)</f>
        <v>0</v>
      </c>
      <c r="N398">
        <f>IF('Perso Reloaded'!$L$32=A398,1,0)</f>
        <v>0</v>
      </c>
      <c r="O398">
        <f>IF('Perso Reloaded'!$L$33=A398,1,0)</f>
        <v>0</v>
      </c>
      <c r="P398">
        <f>IF('Perso Reloaded'!$L$34=A398,1,0)</f>
        <v>0</v>
      </c>
      <c r="Q398">
        <f>IF('Perso Reloaded'!$L$35=A398,1,0)</f>
        <v>0</v>
      </c>
      <c r="R398">
        <f>IF('Perso Reloaded'!$L$36=A398,1,0)</f>
        <v>0</v>
      </c>
      <c r="S398">
        <f>IF('Perso Reloaded'!$L$37=A398,1,0)</f>
        <v>0</v>
      </c>
      <c r="T398">
        <f t="shared" si="20"/>
        <v>0</v>
      </c>
      <c r="U398" t="b">
        <f t="shared" si="19"/>
        <v>0</v>
      </c>
    </row>
    <row r="399" spans="1:21" x14ac:dyDescent="0.3">
      <c r="A399" s="65" t="s">
        <v>226</v>
      </c>
      <c r="B399">
        <f>IF(AtoutsHandicapsMatos!$N$5=A399,1,0)</f>
        <v>0</v>
      </c>
      <c r="C399">
        <f>IF(AtoutsHandicapsMatos!$N$6=A399,1,0)</f>
        <v>0</v>
      </c>
      <c r="D399">
        <f>IF(AtoutsHandicapsMatos!$N$7=A399,1,0)</f>
        <v>0</v>
      </c>
      <c r="E399">
        <f>IF(AtoutsHandicapsMatos!$N$8=A399,1,0)</f>
        <v>0</v>
      </c>
      <c r="F399">
        <f>IF(AtoutsHandicapsMatos!$N$9=A399,1,0)</f>
        <v>0</v>
      </c>
      <c r="G399">
        <f>IF(AtoutsHandicapsMatos!$O$10=A399,1,0)</f>
        <v>0</v>
      </c>
      <c r="H399">
        <f>IF(AtoutsHandicapsMatos!$O$11=A399,1,0)</f>
        <v>0</v>
      </c>
      <c r="I399">
        <f>IF(AtoutsHandicapsMatos!$O$12=A399,1,0)</f>
        <v>0</v>
      </c>
      <c r="J399">
        <f>IF(AtoutsHandicapsMatos!$N$13=A399,1,0)</f>
        <v>0</v>
      </c>
      <c r="K399">
        <f>IF(AtoutsHandicapsMatos!$N$14=A399,1,0)</f>
        <v>0</v>
      </c>
      <c r="L399">
        <f>IF('Perso Reloaded'!$L$30=A399,1,0)</f>
        <v>0</v>
      </c>
      <c r="M399">
        <f>IF('Perso Reloaded'!$L$31=A399,1,0)</f>
        <v>0</v>
      </c>
      <c r="N399">
        <f>IF('Perso Reloaded'!$L$32=A399,1,0)</f>
        <v>0</v>
      </c>
      <c r="O399">
        <f>IF('Perso Reloaded'!$L$33=A399,1,0)</f>
        <v>0</v>
      </c>
      <c r="P399">
        <f>IF('Perso Reloaded'!$L$34=A399,1,0)</f>
        <v>0</v>
      </c>
      <c r="Q399">
        <f>IF('Perso Reloaded'!$L$35=A399,1,0)</f>
        <v>0</v>
      </c>
      <c r="R399">
        <f>IF('Perso Reloaded'!$L$36=A399,1,0)</f>
        <v>0</v>
      </c>
      <c r="S399">
        <f>IF('Perso Reloaded'!$L$37=A399,1,0)</f>
        <v>0</v>
      </c>
      <c r="T399">
        <f t="shared" si="20"/>
        <v>0</v>
      </c>
      <c r="U399" t="b">
        <f t="shared" si="19"/>
        <v>0</v>
      </c>
    </row>
    <row r="400" spans="1:21" x14ac:dyDescent="0.3">
      <c r="A400" s="65" t="s">
        <v>228</v>
      </c>
      <c r="B400">
        <f>IF(AtoutsHandicapsMatos!$N$5=A400,1,0)</f>
        <v>0</v>
      </c>
      <c r="C400">
        <f>IF(AtoutsHandicapsMatos!$N$6=A400,1,0)</f>
        <v>0</v>
      </c>
      <c r="D400">
        <f>IF(AtoutsHandicapsMatos!$N$7=A400,1,0)</f>
        <v>0</v>
      </c>
      <c r="E400">
        <f>IF(AtoutsHandicapsMatos!$N$8=A400,1,0)</f>
        <v>0</v>
      </c>
      <c r="F400">
        <f>IF(AtoutsHandicapsMatos!$N$9=A400,1,0)</f>
        <v>0</v>
      </c>
      <c r="G400">
        <f>IF(AtoutsHandicapsMatos!$O$10=A400,1,0)</f>
        <v>0</v>
      </c>
      <c r="H400">
        <f>IF(AtoutsHandicapsMatos!$O$11=A400,1,0)</f>
        <v>0</v>
      </c>
      <c r="I400">
        <f>IF(AtoutsHandicapsMatos!$O$12=A400,1,0)</f>
        <v>0</v>
      </c>
      <c r="J400">
        <f>IF(AtoutsHandicapsMatos!$N$13=A400,1,0)</f>
        <v>0</v>
      </c>
      <c r="K400">
        <f>IF(AtoutsHandicapsMatos!$N$14=A400,1,0)</f>
        <v>0</v>
      </c>
      <c r="L400">
        <f>IF('Perso Reloaded'!$L$30=A400,1,0)</f>
        <v>0</v>
      </c>
      <c r="M400">
        <f>IF('Perso Reloaded'!$L$31=A400,1,0)</f>
        <v>0</v>
      </c>
      <c r="N400">
        <f>IF('Perso Reloaded'!$L$32=A400,1,0)</f>
        <v>0</v>
      </c>
      <c r="O400">
        <f>IF('Perso Reloaded'!$L$33=A400,1,0)</f>
        <v>0</v>
      </c>
      <c r="P400">
        <f>IF('Perso Reloaded'!$L$34=A400,1,0)</f>
        <v>0</v>
      </c>
      <c r="Q400">
        <f>IF('Perso Reloaded'!$L$35=A400,1,0)</f>
        <v>0</v>
      </c>
      <c r="R400">
        <f>IF('Perso Reloaded'!$L$36=A400,1,0)</f>
        <v>0</v>
      </c>
      <c r="S400">
        <f>IF('Perso Reloaded'!$L$37=A400,1,0)</f>
        <v>0</v>
      </c>
      <c r="T400">
        <f t="shared" si="20"/>
        <v>0</v>
      </c>
      <c r="U400" t="b">
        <f t="shared" si="19"/>
        <v>0</v>
      </c>
    </row>
    <row r="401" spans="1:21" x14ac:dyDescent="0.3">
      <c r="A401" s="65" t="s">
        <v>229</v>
      </c>
      <c r="B401">
        <f>IF(AtoutsHandicapsMatos!$N$5=A401,1,0)</f>
        <v>0</v>
      </c>
      <c r="C401">
        <f>IF(AtoutsHandicapsMatos!$N$6=A401,1,0)</f>
        <v>0</v>
      </c>
      <c r="D401">
        <f>IF(AtoutsHandicapsMatos!$N$7=A401,1,0)</f>
        <v>0</v>
      </c>
      <c r="E401">
        <f>IF(AtoutsHandicapsMatos!$N$8=A401,1,0)</f>
        <v>0</v>
      </c>
      <c r="F401">
        <f>IF(AtoutsHandicapsMatos!$N$9=A401,1,0)</f>
        <v>0</v>
      </c>
      <c r="G401">
        <f>IF(AtoutsHandicapsMatos!$O$10=A401,1,0)</f>
        <v>0</v>
      </c>
      <c r="H401">
        <f>IF(AtoutsHandicapsMatos!$O$11=A401,1,0)</f>
        <v>0</v>
      </c>
      <c r="I401">
        <f>IF(AtoutsHandicapsMatos!$O$12=A401,1,0)</f>
        <v>0</v>
      </c>
      <c r="J401">
        <f>IF(AtoutsHandicapsMatos!$N$13=A401,1,0)</f>
        <v>0</v>
      </c>
      <c r="K401">
        <f>IF(AtoutsHandicapsMatos!$N$14=A401,1,0)</f>
        <v>0</v>
      </c>
      <c r="L401">
        <f>IF('Perso Reloaded'!$L$30=A401,1,0)</f>
        <v>0</v>
      </c>
      <c r="M401">
        <f>IF('Perso Reloaded'!$L$31=A401,1,0)</f>
        <v>0</v>
      </c>
      <c r="N401">
        <f>IF('Perso Reloaded'!$L$32=A401,1,0)</f>
        <v>0</v>
      </c>
      <c r="O401">
        <f>IF('Perso Reloaded'!$L$33=A401,1,0)</f>
        <v>0</v>
      </c>
      <c r="P401">
        <f>IF('Perso Reloaded'!$L$34=A401,1,0)</f>
        <v>0</v>
      </c>
      <c r="Q401">
        <f>IF('Perso Reloaded'!$L$35=A401,1,0)</f>
        <v>0</v>
      </c>
      <c r="R401">
        <f>IF('Perso Reloaded'!$L$36=A401,1,0)</f>
        <v>0</v>
      </c>
      <c r="S401">
        <f>IF('Perso Reloaded'!$L$37=A401,1,0)</f>
        <v>0</v>
      </c>
      <c r="T401">
        <f t="shared" si="20"/>
        <v>0</v>
      </c>
      <c r="U401" t="b">
        <f t="shared" si="19"/>
        <v>0</v>
      </c>
    </row>
    <row r="402" spans="1:21" x14ac:dyDescent="0.3">
      <c r="A402" s="65" t="s">
        <v>230</v>
      </c>
      <c r="B402">
        <f>IF(AtoutsHandicapsMatos!$N$5=A402,1,0)</f>
        <v>0</v>
      </c>
      <c r="C402">
        <f>IF(AtoutsHandicapsMatos!$N$6=A402,1,0)</f>
        <v>0</v>
      </c>
      <c r="D402">
        <f>IF(AtoutsHandicapsMatos!$N$7=A402,1,0)</f>
        <v>0</v>
      </c>
      <c r="E402">
        <f>IF(AtoutsHandicapsMatos!$N$8=A402,1,0)</f>
        <v>0</v>
      </c>
      <c r="F402">
        <f>IF(AtoutsHandicapsMatos!$N$9=A402,1,0)</f>
        <v>0</v>
      </c>
      <c r="G402">
        <f>IF(AtoutsHandicapsMatos!$O$10=A402,1,0)</f>
        <v>0</v>
      </c>
      <c r="H402">
        <f>IF(AtoutsHandicapsMatos!$O$11=A402,1,0)</f>
        <v>0</v>
      </c>
      <c r="I402">
        <f>IF(AtoutsHandicapsMatos!$O$12=A402,1,0)</f>
        <v>0</v>
      </c>
      <c r="J402">
        <f>IF(AtoutsHandicapsMatos!$N$13=A402,1,0)</f>
        <v>0</v>
      </c>
      <c r="K402">
        <f>IF(AtoutsHandicapsMatos!$N$14=A402,1,0)</f>
        <v>0</v>
      </c>
      <c r="L402">
        <f>IF('Perso Reloaded'!$L$30=A402,1,0)</f>
        <v>0</v>
      </c>
      <c r="M402">
        <f>IF('Perso Reloaded'!$L$31=A402,1,0)</f>
        <v>0</v>
      </c>
      <c r="N402">
        <f>IF('Perso Reloaded'!$L$32=A402,1,0)</f>
        <v>0</v>
      </c>
      <c r="O402">
        <f>IF('Perso Reloaded'!$L$33=A402,1,0)</f>
        <v>0</v>
      </c>
      <c r="P402">
        <f>IF('Perso Reloaded'!$L$34=A402,1,0)</f>
        <v>0</v>
      </c>
      <c r="Q402">
        <f>IF('Perso Reloaded'!$L$35=A402,1,0)</f>
        <v>0</v>
      </c>
      <c r="R402">
        <f>IF('Perso Reloaded'!$L$36=A402,1,0)</f>
        <v>0</v>
      </c>
      <c r="S402">
        <f>IF('Perso Reloaded'!$L$37=A402,1,0)</f>
        <v>0</v>
      </c>
      <c r="T402">
        <f t="shared" si="20"/>
        <v>0</v>
      </c>
      <c r="U402" t="b">
        <f t="shared" si="19"/>
        <v>0</v>
      </c>
    </row>
    <row r="403" spans="1:21" x14ac:dyDescent="0.3">
      <c r="A403" s="65" t="s">
        <v>227</v>
      </c>
      <c r="B403">
        <f>IF(AtoutsHandicapsMatos!$N$5=A403,1,0)</f>
        <v>0</v>
      </c>
      <c r="C403">
        <f>IF(AtoutsHandicapsMatos!$N$6=A403,1,0)</f>
        <v>0</v>
      </c>
      <c r="D403">
        <f>IF(AtoutsHandicapsMatos!$N$7=A403,1,0)</f>
        <v>0</v>
      </c>
      <c r="E403">
        <f>IF(AtoutsHandicapsMatos!$N$8=A403,1,0)</f>
        <v>0</v>
      </c>
      <c r="F403">
        <f>IF(AtoutsHandicapsMatos!$N$9=A403,1,0)</f>
        <v>0</v>
      </c>
      <c r="G403">
        <f>IF(AtoutsHandicapsMatos!$O$10=A403,1,0)</f>
        <v>0</v>
      </c>
      <c r="H403">
        <f>IF(AtoutsHandicapsMatos!$O$11=A403,1,0)</f>
        <v>0</v>
      </c>
      <c r="I403">
        <f>IF(AtoutsHandicapsMatos!$O$12=A403,1,0)</f>
        <v>0</v>
      </c>
      <c r="J403">
        <f>IF(AtoutsHandicapsMatos!$N$13=A403,1,0)</f>
        <v>0</v>
      </c>
      <c r="K403">
        <f>IF(AtoutsHandicapsMatos!$N$14=A403,1,0)</f>
        <v>0</v>
      </c>
      <c r="L403">
        <f>IF('Perso Reloaded'!$L$30=A403,1,0)</f>
        <v>0</v>
      </c>
      <c r="M403">
        <f>IF('Perso Reloaded'!$L$31=A403,1,0)</f>
        <v>0</v>
      </c>
      <c r="N403">
        <f>IF('Perso Reloaded'!$L$32=A403,1,0)</f>
        <v>0</v>
      </c>
      <c r="O403">
        <f>IF('Perso Reloaded'!$L$33=A403,1,0)</f>
        <v>0</v>
      </c>
      <c r="P403">
        <f>IF('Perso Reloaded'!$L$34=A403,1,0)</f>
        <v>0</v>
      </c>
      <c r="Q403">
        <f>IF('Perso Reloaded'!$L$35=A403,1,0)</f>
        <v>0</v>
      </c>
      <c r="R403">
        <f>IF('Perso Reloaded'!$L$36=A403,1,0)</f>
        <v>0</v>
      </c>
      <c r="S403">
        <f>IF('Perso Reloaded'!$L$37=A403,1,0)</f>
        <v>0</v>
      </c>
      <c r="T403">
        <f t="shared" si="20"/>
        <v>0</v>
      </c>
      <c r="U403" t="b">
        <f t="shared" si="19"/>
        <v>0</v>
      </c>
    </row>
    <row r="404" spans="1:21" x14ac:dyDescent="0.3">
      <c r="A404" s="65" t="str">
        <f>IF(OR(SexePerso="Féminin",'Perso Reloaded'!$C$6="Féminin"),"Expatriée/Etrangère","Expatrié/Etranger")</f>
        <v>Expatrié/Etranger</v>
      </c>
      <c r="B404">
        <f>IF(AtoutsHandicapsMatos!$N$5=A404,1,0)</f>
        <v>0</v>
      </c>
      <c r="C404">
        <f>IF(AtoutsHandicapsMatos!$N$6=A404,1,0)</f>
        <v>0</v>
      </c>
      <c r="D404">
        <f>IF(AtoutsHandicapsMatos!$N$7=A404,1,0)</f>
        <v>0</v>
      </c>
      <c r="E404">
        <f>IF(AtoutsHandicapsMatos!$N$8=A404,1,0)</f>
        <v>0</v>
      </c>
      <c r="F404">
        <f>IF(AtoutsHandicapsMatos!$N$9=A404,1,0)</f>
        <v>0</v>
      </c>
      <c r="G404">
        <f>IF(AtoutsHandicapsMatos!$O$10=A404,1,0)</f>
        <v>0</v>
      </c>
      <c r="H404">
        <f>IF(AtoutsHandicapsMatos!$O$11=A404,1,0)</f>
        <v>0</v>
      </c>
      <c r="I404">
        <f>IF(AtoutsHandicapsMatos!$O$12=A404,1,0)</f>
        <v>0</v>
      </c>
      <c r="J404">
        <f>IF(AtoutsHandicapsMatos!$N$13=A404,1,0)</f>
        <v>0</v>
      </c>
      <c r="K404">
        <f>IF(AtoutsHandicapsMatos!$N$14=A404,1,0)</f>
        <v>0</v>
      </c>
      <c r="L404">
        <f>IF('Perso Reloaded'!$L$30=A404,1,0)</f>
        <v>0</v>
      </c>
      <c r="M404">
        <f>IF('Perso Reloaded'!$L$31=A404,1,0)</f>
        <v>0</v>
      </c>
      <c r="N404">
        <f>IF('Perso Reloaded'!$L$32=A404,1,0)</f>
        <v>0</v>
      </c>
      <c r="O404">
        <f>IF('Perso Reloaded'!$L$33=A404,1,0)</f>
        <v>0</v>
      </c>
      <c r="P404">
        <f>IF('Perso Reloaded'!$L$34=A404,1,0)</f>
        <v>0</v>
      </c>
      <c r="Q404">
        <f>IF('Perso Reloaded'!$L$35=A404,1,0)</f>
        <v>0</v>
      </c>
      <c r="R404">
        <f>IF('Perso Reloaded'!$L$36=A404,1,0)</f>
        <v>0</v>
      </c>
      <c r="S404">
        <f>IF('Perso Reloaded'!$L$37=A404,1,0)</f>
        <v>0</v>
      </c>
      <c r="T404">
        <f t="shared" si="20"/>
        <v>0</v>
      </c>
      <c r="U404" t="b">
        <f t="shared" si="19"/>
        <v>0</v>
      </c>
    </row>
    <row r="405" spans="1:21" x14ac:dyDescent="0.3">
      <c r="A405" s="65" t="s">
        <v>231</v>
      </c>
      <c r="B405">
        <f>IF(AtoutsHandicapsMatos!$N$5=A405,1,0)</f>
        <v>0</v>
      </c>
      <c r="C405">
        <f>IF(AtoutsHandicapsMatos!$N$6=A405,1,0)</f>
        <v>0</v>
      </c>
      <c r="D405">
        <f>IF(AtoutsHandicapsMatos!$N$7=A405,1,0)</f>
        <v>0</v>
      </c>
      <c r="E405">
        <f>IF(AtoutsHandicapsMatos!$N$8=A405,1,0)</f>
        <v>0</v>
      </c>
      <c r="F405">
        <f>IF(AtoutsHandicapsMatos!$N$9=A405,1,0)</f>
        <v>0</v>
      </c>
      <c r="G405">
        <f>IF(AtoutsHandicapsMatos!$O$10=A405,1,0)</f>
        <v>0</v>
      </c>
      <c r="H405">
        <f>IF(AtoutsHandicapsMatos!$O$11=A405,1,0)</f>
        <v>0</v>
      </c>
      <c r="I405">
        <f>IF(AtoutsHandicapsMatos!$O$12=A405,1,0)</f>
        <v>0</v>
      </c>
      <c r="J405">
        <f>IF(AtoutsHandicapsMatos!$N$13=A405,1,0)</f>
        <v>0</v>
      </c>
      <c r="K405">
        <f>IF(AtoutsHandicapsMatos!$N$14=A405,1,0)</f>
        <v>0</v>
      </c>
      <c r="L405">
        <f>IF('Perso Reloaded'!$L$30=A405,1,0)</f>
        <v>0</v>
      </c>
      <c r="M405">
        <f>IF('Perso Reloaded'!$L$31=A405,1,0)</f>
        <v>0</v>
      </c>
      <c r="N405">
        <f>IF('Perso Reloaded'!$L$32=A405,1,0)</f>
        <v>0</v>
      </c>
      <c r="O405">
        <f>IF('Perso Reloaded'!$L$33=A405,1,0)</f>
        <v>0</v>
      </c>
      <c r="P405">
        <f>IF('Perso Reloaded'!$L$34=A405,1,0)</f>
        <v>0</v>
      </c>
      <c r="Q405">
        <f>IF('Perso Reloaded'!$L$35=A405,1,0)</f>
        <v>0</v>
      </c>
      <c r="R405">
        <f>IF('Perso Reloaded'!$L$36=A405,1,0)</f>
        <v>0</v>
      </c>
      <c r="S405">
        <f>IF('Perso Reloaded'!$L$37=A405,1,0)</f>
        <v>0</v>
      </c>
      <c r="T405">
        <f t="shared" ref="T405:T470" si="31">SUM(B405:S405)</f>
        <v>0</v>
      </c>
      <c r="U405" t="b">
        <f t="shared" si="19"/>
        <v>0</v>
      </c>
    </row>
    <row r="406" spans="1:21" x14ac:dyDescent="0.3">
      <c r="A406" s="65" t="str">
        <f>IF(OR(SexePerso="Féminin",'Perso Reloaded'!$C$6="Féminin"),"Fatiguée (faiblement)","Fatigué (faiblement)")</f>
        <v>Fatigué (faiblement)</v>
      </c>
      <c r="B406">
        <f>IF(AtoutsHandicapsMatos!$N$5=A406,1,0)</f>
        <v>0</v>
      </c>
      <c r="C406">
        <f>IF(AtoutsHandicapsMatos!$N$6=A406,1,0)</f>
        <v>0</v>
      </c>
      <c r="D406">
        <f>IF(AtoutsHandicapsMatos!$N$7=A406,1,0)</f>
        <v>0</v>
      </c>
      <c r="E406">
        <f>IF(AtoutsHandicapsMatos!$N$8=A406,1,0)</f>
        <v>0</v>
      </c>
      <c r="F406">
        <f>IF(AtoutsHandicapsMatos!$N$9=A406,1,0)</f>
        <v>0</v>
      </c>
      <c r="G406">
        <f>IF(AtoutsHandicapsMatos!$O$10=A406,1,0)</f>
        <v>0</v>
      </c>
      <c r="H406">
        <f>IF(AtoutsHandicapsMatos!$O$11=A406,1,0)</f>
        <v>0</v>
      </c>
      <c r="I406">
        <f>IF(AtoutsHandicapsMatos!$O$12=A406,1,0)</f>
        <v>0</v>
      </c>
      <c r="J406">
        <f>IF(AtoutsHandicapsMatos!$N$13=A406,1,0)</f>
        <v>0</v>
      </c>
      <c r="K406">
        <f>IF(AtoutsHandicapsMatos!$N$14=A406,1,0)</f>
        <v>0</v>
      </c>
      <c r="L406">
        <f>IF('Perso Reloaded'!$L$30=A406,1,0)</f>
        <v>0</v>
      </c>
      <c r="M406">
        <f>IF('Perso Reloaded'!$L$31=A406,1,0)</f>
        <v>0</v>
      </c>
      <c r="N406">
        <f>IF('Perso Reloaded'!$L$32=A406,1,0)</f>
        <v>0</v>
      </c>
      <c r="O406">
        <f>IF('Perso Reloaded'!$L$33=A406,1,0)</f>
        <v>0</v>
      </c>
      <c r="P406">
        <f>IF('Perso Reloaded'!$L$34=A406,1,0)</f>
        <v>0</v>
      </c>
      <c r="Q406">
        <f>IF('Perso Reloaded'!$L$35=A406,1,0)</f>
        <v>0</v>
      </c>
      <c r="R406">
        <f>IF('Perso Reloaded'!$L$36=A406,1,0)</f>
        <v>0</v>
      </c>
      <c r="S406">
        <f>IF('Perso Reloaded'!$L$37=A406,1,0)</f>
        <v>0</v>
      </c>
      <c r="T406">
        <f t="shared" si="31"/>
        <v>0</v>
      </c>
      <c r="U406" t="b">
        <f t="shared" si="19"/>
        <v>0</v>
      </c>
    </row>
    <row r="407" spans="1:21" x14ac:dyDescent="0.3">
      <c r="A407" s="65" t="str">
        <f>IF(OR(SexePerso="Féminin",'Perso Reloaded'!$C$6="Féminin"),"Fatiguée (moyennement)","Fatigué (moyennement)")</f>
        <v>Fatigué (moyennement)</v>
      </c>
      <c r="B407">
        <f>IF(AtoutsHandicapsMatos!$N$5=A407,1,0)</f>
        <v>0</v>
      </c>
      <c r="C407">
        <f>IF(AtoutsHandicapsMatos!$N$6=A407,1,0)</f>
        <v>0</v>
      </c>
      <c r="D407">
        <f>IF(AtoutsHandicapsMatos!$N$7=A407,1,0)</f>
        <v>0</v>
      </c>
      <c r="E407">
        <f>IF(AtoutsHandicapsMatos!$N$8=A407,1,0)</f>
        <v>0</v>
      </c>
      <c r="F407">
        <f>IF(AtoutsHandicapsMatos!$N$9=A407,1,0)</f>
        <v>0</v>
      </c>
      <c r="G407">
        <f>IF(AtoutsHandicapsMatos!$O$10=A407,1,0)</f>
        <v>0</v>
      </c>
      <c r="H407">
        <f>IF(AtoutsHandicapsMatos!$O$11=A407,1,0)</f>
        <v>0</v>
      </c>
      <c r="I407">
        <f>IF(AtoutsHandicapsMatos!$O$12=A407,1,0)</f>
        <v>0</v>
      </c>
      <c r="J407">
        <f>IF(AtoutsHandicapsMatos!$N$13=A407,1,0)</f>
        <v>0</v>
      </c>
      <c r="K407">
        <f>IF(AtoutsHandicapsMatos!$N$14=A407,1,0)</f>
        <v>0</v>
      </c>
      <c r="L407">
        <f>IF('Perso Reloaded'!$L$30=A407,1,0)</f>
        <v>0</v>
      </c>
      <c r="M407">
        <f>IF('Perso Reloaded'!$L$31=A407,1,0)</f>
        <v>0</v>
      </c>
      <c r="N407">
        <f>IF('Perso Reloaded'!$L$32=A407,1,0)</f>
        <v>0</v>
      </c>
      <c r="O407">
        <f>IF('Perso Reloaded'!$L$33=A407,1,0)</f>
        <v>0</v>
      </c>
      <c r="P407">
        <f>IF('Perso Reloaded'!$L$34=A407,1,0)</f>
        <v>0</v>
      </c>
      <c r="Q407">
        <f>IF('Perso Reloaded'!$L$35=A407,1,0)</f>
        <v>0</v>
      </c>
      <c r="R407">
        <f>IF('Perso Reloaded'!$L$36=A407,1,0)</f>
        <v>0</v>
      </c>
      <c r="S407">
        <f>IF('Perso Reloaded'!$L$37=A407,1,0)</f>
        <v>0</v>
      </c>
      <c r="T407">
        <f t="shared" si="31"/>
        <v>0</v>
      </c>
      <c r="U407" t="b">
        <f t="shared" ref="U407:U469" si="32">IF(T407=0,FALSE,TRUE)</f>
        <v>0</v>
      </c>
    </row>
    <row r="408" spans="1:21" x14ac:dyDescent="0.3">
      <c r="A408" s="65" t="str">
        <f>IF(OR(SexePerso="Féminin",'Perso Reloaded'!$C$6="Féminin"),"Fatiguée (fortemment)","Fatigué (fortemment)")</f>
        <v>Fatigué (fortemment)</v>
      </c>
      <c r="B408">
        <f>IF(AtoutsHandicapsMatos!$N$5=A408,1,0)</f>
        <v>0</v>
      </c>
      <c r="C408">
        <f>IF(AtoutsHandicapsMatos!$N$6=A408,1,0)</f>
        <v>0</v>
      </c>
      <c r="D408">
        <f>IF(AtoutsHandicapsMatos!$N$7=A408,1,0)</f>
        <v>0</v>
      </c>
      <c r="E408">
        <f>IF(AtoutsHandicapsMatos!$N$8=A408,1,0)</f>
        <v>0</v>
      </c>
      <c r="F408">
        <f>IF(AtoutsHandicapsMatos!$N$9=A408,1,0)</f>
        <v>0</v>
      </c>
      <c r="G408">
        <f>IF(AtoutsHandicapsMatos!$O$10=A408,1,0)</f>
        <v>0</v>
      </c>
      <c r="H408">
        <f>IF(AtoutsHandicapsMatos!$O$11=A408,1,0)</f>
        <v>0</v>
      </c>
      <c r="I408">
        <f>IF(AtoutsHandicapsMatos!$O$12=A408,1,0)</f>
        <v>0</v>
      </c>
      <c r="J408">
        <f>IF(AtoutsHandicapsMatos!$N$13=A408,1,0)</f>
        <v>0</v>
      </c>
      <c r="K408">
        <f>IF(AtoutsHandicapsMatos!$N$14=A408,1,0)</f>
        <v>0</v>
      </c>
      <c r="L408">
        <f>IF('Perso Reloaded'!$L$30=A408,1,0)</f>
        <v>0</v>
      </c>
      <c r="M408">
        <f>IF('Perso Reloaded'!$L$31=A408,1,0)</f>
        <v>0</v>
      </c>
      <c r="N408">
        <f>IF('Perso Reloaded'!$L$32=A408,1,0)</f>
        <v>0</v>
      </c>
      <c r="O408">
        <f>IF('Perso Reloaded'!$L$33=A408,1,0)</f>
        <v>0</v>
      </c>
      <c r="P408">
        <f>IF('Perso Reloaded'!$L$34=A408,1,0)</f>
        <v>0</v>
      </c>
      <c r="Q408">
        <f>IF('Perso Reloaded'!$L$35=A408,1,0)</f>
        <v>0</v>
      </c>
      <c r="R408">
        <f>IF('Perso Reloaded'!$L$36=A408,1,0)</f>
        <v>0</v>
      </c>
      <c r="S408">
        <f>IF('Perso Reloaded'!$L$37=A408,1,0)</f>
        <v>0</v>
      </c>
      <c r="T408">
        <f t="shared" si="31"/>
        <v>0</v>
      </c>
      <c r="U408" t="b">
        <f t="shared" si="32"/>
        <v>0</v>
      </c>
    </row>
    <row r="409" spans="1:21" x14ac:dyDescent="0.3">
      <c r="A409" s="65" t="str">
        <f>IF(OR(SexePerso="Féminin",'Perso Reloaded'!$C$6="Féminin"),"Fatiguée (extrêmement)","Fatigué (extrêmement)")</f>
        <v>Fatigué (extrêmement)</v>
      </c>
      <c r="B409">
        <f>IF(AtoutsHandicapsMatos!$N$5=A409,1,0)</f>
        <v>0</v>
      </c>
      <c r="C409">
        <f>IF(AtoutsHandicapsMatos!$N$6=A409,1,0)</f>
        <v>0</v>
      </c>
      <c r="D409">
        <f>IF(AtoutsHandicapsMatos!$N$7=A409,1,0)</f>
        <v>0</v>
      </c>
      <c r="E409">
        <f>IF(AtoutsHandicapsMatos!$N$8=A409,1,0)</f>
        <v>0</v>
      </c>
      <c r="F409">
        <f>IF(AtoutsHandicapsMatos!$N$9=A409,1,0)</f>
        <v>0</v>
      </c>
      <c r="G409">
        <f>IF(AtoutsHandicapsMatos!$O$10=A409,1,0)</f>
        <v>0</v>
      </c>
      <c r="H409">
        <f>IF(AtoutsHandicapsMatos!$O$11=A409,1,0)</f>
        <v>0</v>
      </c>
      <c r="I409">
        <f>IF(AtoutsHandicapsMatos!$O$12=A409,1,0)</f>
        <v>0</v>
      </c>
      <c r="J409">
        <f>IF(AtoutsHandicapsMatos!$N$13=A409,1,0)</f>
        <v>0</v>
      </c>
      <c r="K409">
        <f>IF(AtoutsHandicapsMatos!$N$14=A409,1,0)</f>
        <v>0</v>
      </c>
      <c r="L409">
        <f>IF('Perso Reloaded'!$L$30=A409,1,0)</f>
        <v>0</v>
      </c>
      <c r="M409">
        <f>IF('Perso Reloaded'!$L$31=A409,1,0)</f>
        <v>0</v>
      </c>
      <c r="N409">
        <f>IF('Perso Reloaded'!$L$32=A409,1,0)</f>
        <v>0</v>
      </c>
      <c r="O409">
        <f>IF('Perso Reloaded'!$L$33=A409,1,0)</f>
        <v>0</v>
      </c>
      <c r="P409">
        <f>IF('Perso Reloaded'!$L$34=A409,1,0)</f>
        <v>0</v>
      </c>
      <c r="Q409">
        <f>IF('Perso Reloaded'!$L$35=A409,1,0)</f>
        <v>0</v>
      </c>
      <c r="R409">
        <f>IF('Perso Reloaded'!$L$36=A409,1,0)</f>
        <v>0</v>
      </c>
      <c r="S409">
        <f>IF('Perso Reloaded'!$L$37=A409,1,0)</f>
        <v>0</v>
      </c>
      <c r="T409">
        <f t="shared" si="31"/>
        <v>0</v>
      </c>
      <c r="U409" t="b">
        <f t="shared" si="32"/>
        <v>0</v>
      </c>
    </row>
    <row r="410" spans="1:21" x14ac:dyDescent="0.3">
      <c r="A410" s="65" t="str">
        <f>IF(OR(SexePerso="Féminin",'Perso Reloaded'!$C$6="Féminin"),"Fatiguée (plus qu'extrêmement)","Fatigué (plus qu'extrêmement)")</f>
        <v>Fatigué (plus qu'extrêmement)</v>
      </c>
      <c r="B410">
        <f>IF(AtoutsHandicapsMatos!$N$5=A410,1,0)</f>
        <v>0</v>
      </c>
      <c r="C410">
        <f>IF(AtoutsHandicapsMatos!$N$6=A410,1,0)</f>
        <v>0</v>
      </c>
      <c r="D410">
        <f>IF(AtoutsHandicapsMatos!$N$7=A410,1,0)</f>
        <v>0</v>
      </c>
      <c r="E410">
        <f>IF(AtoutsHandicapsMatos!$N$8=A410,1,0)</f>
        <v>0</v>
      </c>
      <c r="F410">
        <f>IF(AtoutsHandicapsMatos!$N$9=A410,1,0)</f>
        <v>0</v>
      </c>
      <c r="G410">
        <f>IF(AtoutsHandicapsMatos!$O$10=A410,1,0)</f>
        <v>0</v>
      </c>
      <c r="H410">
        <f>IF(AtoutsHandicapsMatos!$O$11=A410,1,0)</f>
        <v>0</v>
      </c>
      <c r="I410">
        <f>IF(AtoutsHandicapsMatos!$O$12=A410,1,0)</f>
        <v>0</v>
      </c>
      <c r="J410">
        <f>IF(AtoutsHandicapsMatos!$N$13=A410,1,0)</f>
        <v>0</v>
      </c>
      <c r="K410">
        <f>IF(AtoutsHandicapsMatos!$N$14=A410,1,0)</f>
        <v>0</v>
      </c>
      <c r="L410">
        <f>IF('Perso Reloaded'!$L$30=A410,1,0)</f>
        <v>0</v>
      </c>
      <c r="M410">
        <f>IF('Perso Reloaded'!$L$31=A410,1,0)</f>
        <v>0</v>
      </c>
      <c r="N410">
        <f>IF('Perso Reloaded'!$L$32=A410,1,0)</f>
        <v>0</v>
      </c>
      <c r="O410">
        <f>IF('Perso Reloaded'!$L$33=A410,1,0)</f>
        <v>0</v>
      </c>
      <c r="P410">
        <f>IF('Perso Reloaded'!$L$34=A410,1,0)</f>
        <v>0</v>
      </c>
      <c r="Q410">
        <f>IF('Perso Reloaded'!$L$35=A410,1,0)</f>
        <v>0</v>
      </c>
      <c r="R410">
        <f>IF('Perso Reloaded'!$L$36=A410,1,0)</f>
        <v>0</v>
      </c>
      <c r="S410">
        <f>IF('Perso Reloaded'!$L$37=A410,1,0)</f>
        <v>0</v>
      </c>
      <c r="T410">
        <f t="shared" si="31"/>
        <v>0</v>
      </c>
      <c r="U410" t="b">
        <f t="shared" si="32"/>
        <v>0</v>
      </c>
    </row>
    <row r="411" spans="1:21" x14ac:dyDescent="0.3">
      <c r="A411" s="65" t="s">
        <v>1408</v>
      </c>
      <c r="B411">
        <f>IF(AtoutsHandicapsMatos!$N$5=A411,1,0)</f>
        <v>0</v>
      </c>
      <c r="C411">
        <f>IF(AtoutsHandicapsMatos!$N$6=A411,1,0)</f>
        <v>0</v>
      </c>
      <c r="D411">
        <f>IF(AtoutsHandicapsMatos!$N$7=A411,1,0)</f>
        <v>0</v>
      </c>
      <c r="E411">
        <f>IF(AtoutsHandicapsMatos!$N$8=A411,1,0)</f>
        <v>0</v>
      </c>
      <c r="F411">
        <f>IF(AtoutsHandicapsMatos!$N$9=A411,1,0)</f>
        <v>0</v>
      </c>
      <c r="G411">
        <f>IF(AtoutsHandicapsMatos!$O$10=A411,1,0)</f>
        <v>0</v>
      </c>
      <c r="H411">
        <f>IF(AtoutsHandicapsMatos!$O$11=A411,1,0)</f>
        <v>0</v>
      </c>
      <c r="I411">
        <f>IF(AtoutsHandicapsMatos!$O$12=A411,1,0)</f>
        <v>0</v>
      </c>
      <c r="J411">
        <f>IF(AtoutsHandicapsMatos!$N$13=A411,1,0)</f>
        <v>0</v>
      </c>
      <c r="K411">
        <f>IF(AtoutsHandicapsMatos!$N$14=A411,1,0)</f>
        <v>0</v>
      </c>
      <c r="L411">
        <f>IF('Perso Reloaded'!$L$30=A411,1,0)</f>
        <v>0</v>
      </c>
      <c r="M411">
        <f>IF('Perso Reloaded'!$L$31=A411,1,0)</f>
        <v>0</v>
      </c>
      <c r="N411">
        <f>IF('Perso Reloaded'!$L$32=A411,1,0)</f>
        <v>0</v>
      </c>
      <c r="O411">
        <f>IF('Perso Reloaded'!$L$33=A411,1,0)</f>
        <v>0</v>
      </c>
      <c r="P411">
        <f>IF('Perso Reloaded'!$L$34=A411,1,0)</f>
        <v>0</v>
      </c>
      <c r="Q411">
        <f>IF('Perso Reloaded'!$L$35=A411,1,0)</f>
        <v>0</v>
      </c>
      <c r="R411">
        <f>IF('Perso Reloaded'!$L$36=A411,1,0)</f>
        <v>0</v>
      </c>
      <c r="S411">
        <f>IF('Perso Reloaded'!$L$37=A411,1,0)</f>
        <v>0</v>
      </c>
      <c r="T411">
        <f t="shared" si="31"/>
        <v>0</v>
      </c>
      <c r="U411" t="b">
        <f t="shared" si="32"/>
        <v>0</v>
      </c>
    </row>
    <row r="412" spans="1:21" x14ac:dyDescent="0.3">
      <c r="A412" s="65" t="s">
        <v>232</v>
      </c>
      <c r="B412">
        <f>IF(AtoutsHandicapsMatos!$N$5=A412,1,0)</f>
        <v>0</v>
      </c>
      <c r="C412">
        <f>IF(AtoutsHandicapsMatos!$N$6=A412,1,0)</f>
        <v>0</v>
      </c>
      <c r="D412">
        <f>IF(AtoutsHandicapsMatos!$N$7=A412,1,0)</f>
        <v>0</v>
      </c>
      <c r="E412">
        <f>IF(AtoutsHandicapsMatos!$N$8=A412,1,0)</f>
        <v>0</v>
      </c>
      <c r="F412">
        <f>IF(AtoutsHandicapsMatos!$N$9=A412,1,0)</f>
        <v>0</v>
      </c>
      <c r="G412">
        <f>IF(AtoutsHandicapsMatos!$O$10=A412,1,0)</f>
        <v>0</v>
      </c>
      <c r="H412">
        <f>IF(AtoutsHandicapsMatos!$O$11=A412,1,0)</f>
        <v>0</v>
      </c>
      <c r="I412">
        <f>IF(AtoutsHandicapsMatos!$O$12=A412,1,0)</f>
        <v>0</v>
      </c>
      <c r="J412">
        <f>IF(AtoutsHandicapsMatos!$N$13=A412,1,0)</f>
        <v>0</v>
      </c>
      <c r="K412">
        <f>IF(AtoutsHandicapsMatos!$N$14=A412,1,0)</f>
        <v>0</v>
      </c>
      <c r="L412">
        <f>IF('Perso Reloaded'!$L$30=A412,1,0)</f>
        <v>0</v>
      </c>
      <c r="M412">
        <f>IF('Perso Reloaded'!$L$31=A412,1,0)</f>
        <v>0</v>
      </c>
      <c r="N412">
        <f>IF('Perso Reloaded'!$L$32=A412,1,0)</f>
        <v>0</v>
      </c>
      <c r="O412">
        <f>IF('Perso Reloaded'!$L$33=A412,1,0)</f>
        <v>0</v>
      </c>
      <c r="P412">
        <f>IF('Perso Reloaded'!$L$34=A412,1,0)</f>
        <v>0</v>
      </c>
      <c r="Q412">
        <f>IF('Perso Reloaded'!$L$35=A412,1,0)</f>
        <v>0</v>
      </c>
      <c r="R412">
        <f>IF('Perso Reloaded'!$L$36=A412,1,0)</f>
        <v>0</v>
      </c>
      <c r="S412">
        <f>IF('Perso Reloaded'!$L$37=A412,1,0)</f>
        <v>0</v>
      </c>
      <c r="T412">
        <f t="shared" si="31"/>
        <v>0</v>
      </c>
      <c r="U412" t="b">
        <f t="shared" si="32"/>
        <v>0</v>
      </c>
    </row>
    <row r="413" spans="1:21" x14ac:dyDescent="0.3">
      <c r="A413" s="65" t="s">
        <v>233</v>
      </c>
      <c r="B413">
        <f>IF(AtoutsHandicapsMatos!$N$5=A413,1,0)</f>
        <v>0</v>
      </c>
      <c r="C413">
        <f>IF(AtoutsHandicapsMatos!$N$6=A413,1,0)</f>
        <v>0</v>
      </c>
      <c r="D413">
        <f>IF(AtoutsHandicapsMatos!$N$7=A413,1,0)</f>
        <v>0</v>
      </c>
      <c r="E413">
        <f>IF(AtoutsHandicapsMatos!$N$8=A413,1,0)</f>
        <v>0</v>
      </c>
      <c r="F413">
        <f>IF(AtoutsHandicapsMatos!$N$9=A413,1,0)</f>
        <v>0</v>
      </c>
      <c r="G413">
        <f>IF(AtoutsHandicapsMatos!$O$10=A413,1,0)</f>
        <v>0</v>
      </c>
      <c r="H413">
        <f>IF(AtoutsHandicapsMatos!$O$11=A413,1,0)</f>
        <v>0</v>
      </c>
      <c r="I413">
        <f>IF(AtoutsHandicapsMatos!$O$12=A413,1,0)</f>
        <v>0</v>
      </c>
      <c r="J413">
        <f>IF(AtoutsHandicapsMatos!$N$13=A413,1,0)</f>
        <v>0</v>
      </c>
      <c r="K413">
        <f>IF(AtoutsHandicapsMatos!$N$14=A413,1,0)</f>
        <v>0</v>
      </c>
      <c r="L413">
        <f>IF('Perso Reloaded'!$L$30=A413,1,0)</f>
        <v>0</v>
      </c>
      <c r="M413">
        <f>IF('Perso Reloaded'!$L$31=A413,1,0)</f>
        <v>0</v>
      </c>
      <c r="N413">
        <f>IF('Perso Reloaded'!$L$32=A413,1,0)</f>
        <v>0</v>
      </c>
      <c r="O413">
        <f>IF('Perso Reloaded'!$L$33=A413,1,0)</f>
        <v>0</v>
      </c>
      <c r="P413">
        <f>IF('Perso Reloaded'!$L$34=A413,1,0)</f>
        <v>0</v>
      </c>
      <c r="Q413">
        <f>IF('Perso Reloaded'!$L$35=A413,1,0)</f>
        <v>0</v>
      </c>
      <c r="R413">
        <f>IF('Perso Reloaded'!$L$36=A413,1,0)</f>
        <v>0</v>
      </c>
      <c r="S413">
        <f>IF('Perso Reloaded'!$L$37=A413,1,0)</f>
        <v>0</v>
      </c>
      <c r="T413">
        <f t="shared" si="31"/>
        <v>0</v>
      </c>
      <c r="U413" t="b">
        <f t="shared" si="32"/>
        <v>0</v>
      </c>
    </row>
    <row r="414" spans="1:21" x14ac:dyDescent="0.3">
      <c r="A414" s="65" t="s">
        <v>234</v>
      </c>
      <c r="B414">
        <f>IF(AtoutsHandicapsMatos!$N$5=A414,1,0)</f>
        <v>0</v>
      </c>
      <c r="C414">
        <f>IF(AtoutsHandicapsMatos!$N$6=A414,1,0)</f>
        <v>0</v>
      </c>
      <c r="D414">
        <f>IF(AtoutsHandicapsMatos!$N$7=A414,1,0)</f>
        <v>0</v>
      </c>
      <c r="E414">
        <f>IF(AtoutsHandicapsMatos!$N$8=A414,1,0)</f>
        <v>0</v>
      </c>
      <c r="F414">
        <f>IF(AtoutsHandicapsMatos!$N$9=A414,1,0)</f>
        <v>0</v>
      </c>
      <c r="G414">
        <f>IF(AtoutsHandicapsMatos!$O$10=A414,1,0)</f>
        <v>0</v>
      </c>
      <c r="H414">
        <f>IF(AtoutsHandicapsMatos!$O$11=A414,1,0)</f>
        <v>0</v>
      </c>
      <c r="I414">
        <f>IF(AtoutsHandicapsMatos!$O$12=A414,1,0)</f>
        <v>0</v>
      </c>
      <c r="J414">
        <f>IF(AtoutsHandicapsMatos!$N$13=A414,1,0)</f>
        <v>0</v>
      </c>
      <c r="K414">
        <f>IF(AtoutsHandicapsMatos!$N$14=A414,1,0)</f>
        <v>0</v>
      </c>
      <c r="L414">
        <f>IF('Perso Reloaded'!$L$30=A414,1,0)</f>
        <v>0</v>
      </c>
      <c r="M414">
        <f>IF('Perso Reloaded'!$L$31=A414,1,0)</f>
        <v>0</v>
      </c>
      <c r="N414">
        <f>IF('Perso Reloaded'!$L$32=A414,1,0)</f>
        <v>0</v>
      </c>
      <c r="O414">
        <f>IF('Perso Reloaded'!$L$33=A414,1,0)</f>
        <v>0</v>
      </c>
      <c r="P414">
        <f>IF('Perso Reloaded'!$L$34=A414,1,0)</f>
        <v>0</v>
      </c>
      <c r="Q414">
        <f>IF('Perso Reloaded'!$L$35=A414,1,0)</f>
        <v>0</v>
      </c>
      <c r="R414">
        <f>IF('Perso Reloaded'!$L$36=A414,1,0)</f>
        <v>0</v>
      </c>
      <c r="S414">
        <f>IF('Perso Reloaded'!$L$37=A414,1,0)</f>
        <v>0</v>
      </c>
      <c r="T414">
        <f t="shared" si="31"/>
        <v>0</v>
      </c>
      <c r="U414" t="b">
        <f t="shared" si="32"/>
        <v>0</v>
      </c>
    </row>
    <row r="415" spans="1:21" x14ac:dyDescent="0.3">
      <c r="A415" s="65" t="s">
        <v>4326</v>
      </c>
      <c r="B415">
        <f>IF(AtoutsHandicapsMatos!$N$5=A415,1,0)</f>
        <v>0</v>
      </c>
      <c r="C415">
        <f>IF(AtoutsHandicapsMatos!$N$6=A415,1,0)</f>
        <v>0</v>
      </c>
      <c r="D415">
        <f>IF(AtoutsHandicapsMatos!$N$7=A415,1,0)</f>
        <v>0</v>
      </c>
      <c r="E415">
        <f>IF(AtoutsHandicapsMatos!$N$8=A415,1,0)</f>
        <v>0</v>
      </c>
      <c r="F415">
        <f>IF(AtoutsHandicapsMatos!$N$9=A415,1,0)</f>
        <v>0</v>
      </c>
      <c r="G415">
        <f>IF(AtoutsHandicapsMatos!$O$10=A415,1,0)</f>
        <v>0</v>
      </c>
      <c r="H415">
        <f>IF(AtoutsHandicapsMatos!$O$11=A415,1,0)</f>
        <v>0</v>
      </c>
      <c r="I415">
        <f>IF(AtoutsHandicapsMatos!$O$12=A415,1,0)</f>
        <v>0</v>
      </c>
      <c r="J415">
        <f>IF(AtoutsHandicapsMatos!$N$13=A415,1,0)</f>
        <v>0</v>
      </c>
      <c r="K415">
        <f>IF(AtoutsHandicapsMatos!$N$14=A415,1,0)</f>
        <v>0</v>
      </c>
      <c r="L415">
        <f>IF('Perso Reloaded'!$L$30=A415,1,0)</f>
        <v>0</v>
      </c>
      <c r="M415">
        <f>IF('Perso Reloaded'!$L$31=A415,1,0)</f>
        <v>0</v>
      </c>
      <c r="N415">
        <f>IF('Perso Reloaded'!$L$32=A415,1,0)</f>
        <v>0</v>
      </c>
      <c r="O415">
        <f>IF('Perso Reloaded'!$L$33=A415,1,0)</f>
        <v>0</v>
      </c>
      <c r="P415">
        <f>IF('Perso Reloaded'!$L$34=A415,1,0)</f>
        <v>0</v>
      </c>
      <c r="Q415">
        <f>IF('Perso Reloaded'!$L$35=A415,1,0)</f>
        <v>0</v>
      </c>
      <c r="R415">
        <f>IF('Perso Reloaded'!$L$36=A415,1,0)</f>
        <v>0</v>
      </c>
      <c r="S415">
        <f>IF('Perso Reloaded'!$L$37=A415,1,0)</f>
        <v>0</v>
      </c>
      <c r="T415">
        <f t="shared" ref="T415" si="33">SUM(B415:S415)</f>
        <v>0</v>
      </c>
      <c r="U415" t="b">
        <f t="shared" ref="U415" si="34">IF(T415=0,FALSE,TRUE)</f>
        <v>0</v>
      </c>
    </row>
    <row r="416" spans="1:21" x14ac:dyDescent="0.3">
      <c r="A416" s="65" t="str">
        <f>IF(OR(SexePerso="Féminin",'Perso Reloaded'!$C$6="Féminin"),"Grande Gueule/Bavarde","Grande Gueule/Bavard")</f>
        <v>Grande Gueule/Bavard</v>
      </c>
      <c r="B416">
        <f>IF(AtoutsHandicapsMatos!$N$5=A416,1,0)</f>
        <v>0</v>
      </c>
      <c r="C416">
        <f>IF(AtoutsHandicapsMatos!$N$6=A416,1,0)</f>
        <v>0</v>
      </c>
      <c r="D416">
        <f>IF(AtoutsHandicapsMatos!$N$7=A416,1,0)</f>
        <v>0</v>
      </c>
      <c r="E416">
        <f>IF(AtoutsHandicapsMatos!$N$8=A416,1,0)</f>
        <v>0</v>
      </c>
      <c r="F416">
        <f>IF(AtoutsHandicapsMatos!$N$9=A416,1,0)</f>
        <v>0</v>
      </c>
      <c r="G416">
        <f>IF(AtoutsHandicapsMatos!$O$10=A416,1,0)</f>
        <v>0</v>
      </c>
      <c r="H416">
        <f>IF(AtoutsHandicapsMatos!$O$11=A416,1,0)</f>
        <v>0</v>
      </c>
      <c r="I416">
        <f>IF(AtoutsHandicapsMatos!$O$12=A416,1,0)</f>
        <v>0</v>
      </c>
      <c r="J416">
        <f>IF(AtoutsHandicapsMatos!$N$13=A416,1,0)</f>
        <v>0</v>
      </c>
      <c r="K416">
        <f>IF(AtoutsHandicapsMatos!$N$14=A416,1,0)</f>
        <v>0</v>
      </c>
      <c r="L416">
        <f>IF('Perso Reloaded'!$L$30=A416,1,0)</f>
        <v>0</v>
      </c>
      <c r="M416">
        <f>IF('Perso Reloaded'!$L$31=A416,1,0)</f>
        <v>0</v>
      </c>
      <c r="N416">
        <f>IF('Perso Reloaded'!$L$32=A416,1,0)</f>
        <v>0</v>
      </c>
      <c r="O416">
        <f>IF('Perso Reloaded'!$L$33=A416,1,0)</f>
        <v>0</v>
      </c>
      <c r="P416">
        <f>IF('Perso Reloaded'!$L$34=A416,1,0)</f>
        <v>0</v>
      </c>
      <c r="Q416">
        <f>IF('Perso Reloaded'!$L$35=A416,1,0)</f>
        <v>0</v>
      </c>
      <c r="R416">
        <f>IF('Perso Reloaded'!$L$36=A416,1,0)</f>
        <v>0</v>
      </c>
      <c r="S416">
        <f>IF('Perso Reloaded'!$L$37=A416,1,0)</f>
        <v>0</v>
      </c>
      <c r="T416">
        <f t="shared" si="31"/>
        <v>0</v>
      </c>
      <c r="U416" t="b">
        <f t="shared" si="32"/>
        <v>0</v>
      </c>
    </row>
    <row r="417" spans="1:21" x14ac:dyDescent="0.3">
      <c r="A417" s="65" t="s">
        <v>3650</v>
      </c>
      <c r="B417">
        <f>IF(AtoutsHandicapsMatos!$N$5=A417,1,0)</f>
        <v>0</v>
      </c>
      <c r="C417">
        <f>IF(AtoutsHandicapsMatos!$N$6=A417,1,0)</f>
        <v>0</v>
      </c>
      <c r="D417">
        <f>IF(AtoutsHandicapsMatos!$N$7=A417,1,0)</f>
        <v>0</v>
      </c>
      <c r="E417">
        <f>IF(AtoutsHandicapsMatos!$N$8=A417,1,0)</f>
        <v>0</v>
      </c>
      <c r="F417">
        <f>IF(AtoutsHandicapsMatos!$N$9=A417,1,0)</f>
        <v>0</v>
      </c>
      <c r="G417">
        <f>IF(AtoutsHandicapsMatos!$O$10=A417,1,0)</f>
        <v>0</v>
      </c>
      <c r="H417">
        <f>IF(AtoutsHandicapsMatos!$O$11=A417,1,0)</f>
        <v>0</v>
      </c>
      <c r="I417">
        <f>IF(AtoutsHandicapsMatos!$O$12=A417,1,0)</f>
        <v>0</v>
      </c>
      <c r="J417">
        <f>IF(AtoutsHandicapsMatos!$N$13=A417,1,0)</f>
        <v>0</v>
      </c>
      <c r="K417">
        <f>IF(AtoutsHandicapsMatos!$N$14=A417,1,0)</f>
        <v>0</v>
      </c>
      <c r="L417">
        <f>IF('Perso Reloaded'!$L$30=A417,1,0)</f>
        <v>0</v>
      </c>
      <c r="M417">
        <f>IF('Perso Reloaded'!$L$31=A417,1,0)</f>
        <v>0</v>
      </c>
      <c r="N417">
        <f>IF('Perso Reloaded'!$L$32=A417,1,0)</f>
        <v>0</v>
      </c>
      <c r="O417">
        <f>IF('Perso Reloaded'!$L$33=A417,1,0)</f>
        <v>0</v>
      </c>
      <c r="P417">
        <f>IF('Perso Reloaded'!$L$34=A417,1,0)</f>
        <v>0</v>
      </c>
      <c r="Q417">
        <f>IF('Perso Reloaded'!$L$35=A417,1,0)</f>
        <v>0</v>
      </c>
      <c r="R417">
        <f>IF('Perso Reloaded'!$L$36=A417,1,0)</f>
        <v>0</v>
      </c>
      <c r="S417">
        <f>IF('Perso Reloaded'!$L$37=A417,1,0)</f>
        <v>0</v>
      </c>
      <c r="T417">
        <f t="shared" si="31"/>
        <v>0</v>
      </c>
      <c r="U417" t="b">
        <f t="shared" si="32"/>
        <v>0</v>
      </c>
    </row>
    <row r="418" spans="1:21" x14ac:dyDescent="0.3">
      <c r="A418" s="65" t="str">
        <f>IF(OR(SexePerso="Féminin",'Perso Reloaded'!$C$6="Féminin"),"Gros Tas (Costaude)","Gros Tas (Costaud)")</f>
        <v>Gros Tas (Costaud)</v>
      </c>
      <c r="B418">
        <f>IF(AtoutsHandicapsMatos!$N$5=A418,1,0)</f>
        <v>0</v>
      </c>
      <c r="C418">
        <f>IF(AtoutsHandicapsMatos!$N$6=A418,1,0)</f>
        <v>0</v>
      </c>
      <c r="D418">
        <f>IF(AtoutsHandicapsMatos!$N$7=A418,1,0)</f>
        <v>0</v>
      </c>
      <c r="E418">
        <f>IF(AtoutsHandicapsMatos!$N$8=A418,1,0)</f>
        <v>0</v>
      </c>
      <c r="F418">
        <f>IF(AtoutsHandicapsMatos!$N$9=A418,1,0)</f>
        <v>0</v>
      </c>
      <c r="G418">
        <f>IF(AtoutsHandicapsMatos!$O$10=A418,1,0)</f>
        <v>0</v>
      </c>
      <c r="H418">
        <f>IF(AtoutsHandicapsMatos!$O$11=A418,1,0)</f>
        <v>0</v>
      </c>
      <c r="I418">
        <f>IF(AtoutsHandicapsMatos!$O$12=A418,1,0)</f>
        <v>0</v>
      </c>
      <c r="J418">
        <f>IF(AtoutsHandicapsMatos!$N$13=A418,1,0)</f>
        <v>0</v>
      </c>
      <c r="K418">
        <f>IF(AtoutsHandicapsMatos!$N$14=A418,1,0)</f>
        <v>0</v>
      </c>
      <c r="L418">
        <f>IF('Perso Reloaded'!$L$30=A418,1,0)</f>
        <v>0</v>
      </c>
      <c r="M418">
        <f>IF('Perso Reloaded'!$L$31=A418,1,0)</f>
        <v>0</v>
      </c>
      <c r="N418">
        <f>IF('Perso Reloaded'!$L$32=A418,1,0)</f>
        <v>0</v>
      </c>
      <c r="O418">
        <f>IF('Perso Reloaded'!$L$33=A418,1,0)</f>
        <v>0</v>
      </c>
      <c r="P418">
        <f>IF('Perso Reloaded'!$L$34=A418,1,0)</f>
        <v>0</v>
      </c>
      <c r="Q418">
        <f>IF('Perso Reloaded'!$L$35=A418,1,0)</f>
        <v>0</v>
      </c>
      <c r="R418">
        <f>IF('Perso Reloaded'!$L$36=A418,1,0)</f>
        <v>0</v>
      </c>
      <c r="S418">
        <f>IF('Perso Reloaded'!$L$37=A418,1,0)</f>
        <v>0</v>
      </c>
      <c r="T418">
        <f t="shared" si="31"/>
        <v>0</v>
      </c>
      <c r="U418" t="b">
        <f t="shared" si="32"/>
        <v>0</v>
      </c>
    </row>
    <row r="419" spans="1:21" x14ac:dyDescent="0.3">
      <c r="A419" s="65" t="s">
        <v>235</v>
      </c>
      <c r="B419">
        <f>IF(AtoutsHandicapsMatos!$N$5=A419,1,0)</f>
        <v>0</v>
      </c>
      <c r="C419">
        <f>IF(AtoutsHandicapsMatos!$N$6=A419,1,0)</f>
        <v>0</v>
      </c>
      <c r="D419">
        <f>IF(AtoutsHandicapsMatos!$N$7=A419,1,0)</f>
        <v>0</v>
      </c>
      <c r="E419">
        <f>IF(AtoutsHandicapsMatos!$N$8=A419,1,0)</f>
        <v>0</v>
      </c>
      <c r="F419">
        <f>IF(AtoutsHandicapsMatos!$N$9=A419,1,0)</f>
        <v>0</v>
      </c>
      <c r="G419">
        <f>IF(AtoutsHandicapsMatos!$O$10=A419,1,0)</f>
        <v>0</v>
      </c>
      <c r="H419">
        <f>IF(AtoutsHandicapsMatos!$O$11=A419,1,0)</f>
        <v>0</v>
      </c>
      <c r="I419">
        <f>IF(AtoutsHandicapsMatos!$O$12=A419,1,0)</f>
        <v>0</v>
      </c>
      <c r="J419">
        <f>IF(AtoutsHandicapsMatos!$N$13=A419,1,0)</f>
        <v>0</v>
      </c>
      <c r="K419">
        <f>IF(AtoutsHandicapsMatos!$N$14=A419,1,0)</f>
        <v>0</v>
      </c>
      <c r="L419">
        <f>IF('Perso Reloaded'!$L$30=A419,1,0)</f>
        <v>0</v>
      </c>
      <c r="M419">
        <f>IF('Perso Reloaded'!$L$31=A419,1,0)</f>
        <v>0</v>
      </c>
      <c r="N419">
        <f>IF('Perso Reloaded'!$L$32=A419,1,0)</f>
        <v>0</v>
      </c>
      <c r="O419">
        <f>IF('Perso Reloaded'!$L$33=A419,1,0)</f>
        <v>0</v>
      </c>
      <c r="P419">
        <f>IF('Perso Reloaded'!$L$34=A419,1,0)</f>
        <v>0</v>
      </c>
      <c r="Q419">
        <f>IF('Perso Reloaded'!$L$35=A419,1,0)</f>
        <v>0</v>
      </c>
      <c r="R419">
        <f>IF('Perso Reloaded'!$L$36=A419,1,0)</f>
        <v>0</v>
      </c>
      <c r="S419">
        <f>IF('Perso Reloaded'!$L$37=A419,1,0)</f>
        <v>0</v>
      </c>
      <c r="T419">
        <f t="shared" si="31"/>
        <v>0</v>
      </c>
      <c r="U419" t="b">
        <f t="shared" si="32"/>
        <v>0</v>
      </c>
    </row>
    <row r="420" spans="1:21" x14ac:dyDescent="0.3">
      <c r="A420" s="65" t="str">
        <f>IF(OR(SexePerso="Féminin",'Perso Reloaded'!$C$6="Féminin"),"Hantée (faiblement)","Hanté (faiblement)")</f>
        <v>Hanté (faiblement)</v>
      </c>
      <c r="B420">
        <f>IF(AtoutsHandicapsMatos!$N$5=A420,1,0)</f>
        <v>0</v>
      </c>
      <c r="C420">
        <f>IF(AtoutsHandicapsMatos!$N$6=A420,1,0)</f>
        <v>0</v>
      </c>
      <c r="D420">
        <f>IF(AtoutsHandicapsMatos!$N$7=A420,1,0)</f>
        <v>0</v>
      </c>
      <c r="E420">
        <f>IF(AtoutsHandicapsMatos!$N$8=A420,1,0)</f>
        <v>0</v>
      </c>
      <c r="F420">
        <f>IF(AtoutsHandicapsMatos!$N$9=A420,1,0)</f>
        <v>0</v>
      </c>
      <c r="G420">
        <f>IF(AtoutsHandicapsMatos!$O$10=A420,1,0)</f>
        <v>0</v>
      </c>
      <c r="H420">
        <f>IF(AtoutsHandicapsMatos!$O$11=A420,1,0)</f>
        <v>0</v>
      </c>
      <c r="I420">
        <f>IF(AtoutsHandicapsMatos!$O$12=A420,1,0)</f>
        <v>0</v>
      </c>
      <c r="J420">
        <f>IF(AtoutsHandicapsMatos!$N$13=A420,1,0)</f>
        <v>0</v>
      </c>
      <c r="K420">
        <f>IF(AtoutsHandicapsMatos!$N$14=A420,1,0)</f>
        <v>0</v>
      </c>
      <c r="L420">
        <f>IF('Perso Reloaded'!$L$30=A420,1,0)</f>
        <v>0</v>
      </c>
      <c r="M420">
        <f>IF('Perso Reloaded'!$L$31=A420,1,0)</f>
        <v>0</v>
      </c>
      <c r="N420">
        <f>IF('Perso Reloaded'!$L$32=A420,1,0)</f>
        <v>0</v>
      </c>
      <c r="O420">
        <f>IF('Perso Reloaded'!$L$33=A420,1,0)</f>
        <v>0</v>
      </c>
      <c r="P420">
        <f>IF('Perso Reloaded'!$L$34=A420,1,0)</f>
        <v>0</v>
      </c>
      <c r="Q420">
        <f>IF('Perso Reloaded'!$L$35=A420,1,0)</f>
        <v>0</v>
      </c>
      <c r="R420">
        <f>IF('Perso Reloaded'!$L$36=A420,1,0)</f>
        <v>0</v>
      </c>
      <c r="S420">
        <f>IF('Perso Reloaded'!$L$37=A420,1,0)</f>
        <v>0</v>
      </c>
      <c r="T420">
        <f t="shared" si="31"/>
        <v>0</v>
      </c>
      <c r="U420" t="b">
        <f t="shared" si="32"/>
        <v>0</v>
      </c>
    </row>
    <row r="421" spans="1:21" x14ac:dyDescent="0.3">
      <c r="A421" s="65" t="str">
        <f>IF(OR(SexePerso="Féminin",'Perso Reloaded'!$C$6="Féminin"),"Hantée (moyennement)","Hanté (moyennement)")</f>
        <v>Hanté (moyennement)</v>
      </c>
      <c r="B421">
        <f>IF(AtoutsHandicapsMatos!$N$5=A421,1,0)</f>
        <v>0</v>
      </c>
      <c r="C421">
        <f>IF(AtoutsHandicapsMatos!$N$6=A421,1,0)</f>
        <v>0</v>
      </c>
      <c r="D421">
        <f>IF(AtoutsHandicapsMatos!$N$7=A421,1,0)</f>
        <v>0</v>
      </c>
      <c r="E421">
        <f>IF(AtoutsHandicapsMatos!$N$8=A421,1,0)</f>
        <v>0</v>
      </c>
      <c r="F421">
        <f>IF(AtoutsHandicapsMatos!$N$9=A421,1,0)</f>
        <v>0</v>
      </c>
      <c r="G421">
        <f>IF(AtoutsHandicapsMatos!$O$10=A421,1,0)</f>
        <v>0</v>
      </c>
      <c r="H421">
        <f>IF(AtoutsHandicapsMatos!$O$11=A421,1,0)</f>
        <v>0</v>
      </c>
      <c r="I421">
        <f>IF(AtoutsHandicapsMatos!$O$12=A421,1,0)</f>
        <v>0</v>
      </c>
      <c r="J421">
        <f>IF(AtoutsHandicapsMatos!$N$13=A421,1,0)</f>
        <v>0</v>
      </c>
      <c r="K421">
        <f>IF(AtoutsHandicapsMatos!$N$14=A421,1,0)</f>
        <v>0</v>
      </c>
      <c r="L421">
        <f>IF('Perso Reloaded'!$L$30=A421,1,0)</f>
        <v>0</v>
      </c>
      <c r="M421">
        <f>IF('Perso Reloaded'!$L$31=A421,1,0)</f>
        <v>0</v>
      </c>
      <c r="N421">
        <f>IF('Perso Reloaded'!$L$32=A421,1,0)</f>
        <v>0</v>
      </c>
      <c r="O421">
        <f>IF('Perso Reloaded'!$L$33=A421,1,0)</f>
        <v>0</v>
      </c>
      <c r="P421">
        <f>IF('Perso Reloaded'!$L$34=A421,1,0)</f>
        <v>0</v>
      </c>
      <c r="Q421">
        <f>IF('Perso Reloaded'!$L$35=A421,1,0)</f>
        <v>0</v>
      </c>
      <c r="R421">
        <f>IF('Perso Reloaded'!$L$36=A421,1,0)</f>
        <v>0</v>
      </c>
      <c r="S421">
        <f>IF('Perso Reloaded'!$L$37=A421,1,0)</f>
        <v>0</v>
      </c>
      <c r="T421">
        <f t="shared" si="31"/>
        <v>0</v>
      </c>
      <c r="U421" t="b">
        <f t="shared" si="32"/>
        <v>0</v>
      </c>
    </row>
    <row r="422" spans="1:21" x14ac:dyDescent="0.3">
      <c r="A422" s="65" t="str">
        <f>IF(OR(SexePerso="Féminin",'Perso Reloaded'!$C$6="Féminin"),"Hantée (fortemment)","Hanté (fortemment)")</f>
        <v>Hanté (fortemment)</v>
      </c>
      <c r="B422">
        <f>IF(AtoutsHandicapsMatos!$N$5=A422,1,0)</f>
        <v>0</v>
      </c>
      <c r="C422">
        <f>IF(AtoutsHandicapsMatos!$N$6=A422,1,0)</f>
        <v>0</v>
      </c>
      <c r="D422">
        <f>IF(AtoutsHandicapsMatos!$N$7=A422,1,0)</f>
        <v>0</v>
      </c>
      <c r="E422">
        <f>IF(AtoutsHandicapsMatos!$N$8=A422,1,0)</f>
        <v>0</v>
      </c>
      <c r="F422">
        <f>IF(AtoutsHandicapsMatos!$N$9=A422,1,0)</f>
        <v>0</v>
      </c>
      <c r="G422">
        <f>IF(AtoutsHandicapsMatos!$O$10=A422,1,0)</f>
        <v>0</v>
      </c>
      <c r="H422">
        <f>IF(AtoutsHandicapsMatos!$O$11=A422,1,0)</f>
        <v>0</v>
      </c>
      <c r="I422">
        <f>IF(AtoutsHandicapsMatos!$O$12=A422,1,0)</f>
        <v>0</v>
      </c>
      <c r="J422">
        <f>IF(AtoutsHandicapsMatos!$N$13=A422,1,0)</f>
        <v>0</v>
      </c>
      <c r="K422">
        <f>IF(AtoutsHandicapsMatos!$N$14=A422,1,0)</f>
        <v>0</v>
      </c>
      <c r="L422">
        <f>IF('Perso Reloaded'!$L$30=A422,1,0)</f>
        <v>0</v>
      </c>
      <c r="M422">
        <f>IF('Perso Reloaded'!$L$31=A422,1,0)</f>
        <v>0</v>
      </c>
      <c r="N422">
        <f>IF('Perso Reloaded'!$L$32=A422,1,0)</f>
        <v>0</v>
      </c>
      <c r="O422">
        <f>IF('Perso Reloaded'!$L$33=A422,1,0)</f>
        <v>0</v>
      </c>
      <c r="P422">
        <f>IF('Perso Reloaded'!$L$34=A422,1,0)</f>
        <v>0</v>
      </c>
      <c r="Q422">
        <f>IF('Perso Reloaded'!$L$35=A422,1,0)</f>
        <v>0</v>
      </c>
      <c r="R422">
        <f>IF('Perso Reloaded'!$L$36=A422,1,0)</f>
        <v>0</v>
      </c>
      <c r="S422">
        <f>IF('Perso Reloaded'!$L$37=A422,1,0)</f>
        <v>0</v>
      </c>
      <c r="T422">
        <f t="shared" si="31"/>
        <v>0</v>
      </c>
      <c r="U422" t="b">
        <f t="shared" si="32"/>
        <v>0</v>
      </c>
    </row>
    <row r="423" spans="1:21" x14ac:dyDescent="0.3">
      <c r="A423" s="65" t="str">
        <f>IF(OR(SexePerso="Féminin",'Perso Reloaded'!$C$6="Féminin"),"Hantée (extrêmement)","Hanté (extrêmement)")</f>
        <v>Hanté (extrêmement)</v>
      </c>
      <c r="B423">
        <f>IF(AtoutsHandicapsMatos!$N$5=A423,1,0)</f>
        <v>0</v>
      </c>
      <c r="C423">
        <f>IF(AtoutsHandicapsMatos!$N$6=A423,1,0)</f>
        <v>0</v>
      </c>
      <c r="D423">
        <f>IF(AtoutsHandicapsMatos!$N$7=A423,1,0)</f>
        <v>0</v>
      </c>
      <c r="E423">
        <f>IF(AtoutsHandicapsMatos!$N$8=A423,1,0)</f>
        <v>0</v>
      </c>
      <c r="F423">
        <f>IF(AtoutsHandicapsMatos!$N$9=A423,1,0)</f>
        <v>0</v>
      </c>
      <c r="G423">
        <f>IF(AtoutsHandicapsMatos!$O$10=A423,1,0)</f>
        <v>0</v>
      </c>
      <c r="H423">
        <f>IF(AtoutsHandicapsMatos!$O$11=A423,1,0)</f>
        <v>0</v>
      </c>
      <c r="I423">
        <f>IF(AtoutsHandicapsMatos!$O$12=A423,1,0)</f>
        <v>0</v>
      </c>
      <c r="J423">
        <f>IF(AtoutsHandicapsMatos!$N$13=A423,1,0)</f>
        <v>0</v>
      </c>
      <c r="K423">
        <f>IF(AtoutsHandicapsMatos!$N$14=A423,1,0)</f>
        <v>0</v>
      </c>
      <c r="L423">
        <f>IF('Perso Reloaded'!$L$30=A423,1,0)</f>
        <v>0</v>
      </c>
      <c r="M423">
        <f>IF('Perso Reloaded'!$L$31=A423,1,0)</f>
        <v>0</v>
      </c>
      <c r="N423">
        <f>IF('Perso Reloaded'!$L$32=A423,1,0)</f>
        <v>0</v>
      </c>
      <c r="O423">
        <f>IF('Perso Reloaded'!$L$33=A423,1,0)</f>
        <v>0</v>
      </c>
      <c r="P423">
        <f>IF('Perso Reloaded'!$L$34=A423,1,0)</f>
        <v>0</v>
      </c>
      <c r="Q423">
        <f>IF('Perso Reloaded'!$L$35=A423,1,0)</f>
        <v>0</v>
      </c>
      <c r="R423">
        <f>IF('Perso Reloaded'!$L$36=A423,1,0)</f>
        <v>0</v>
      </c>
      <c r="S423">
        <f>IF('Perso Reloaded'!$L$37=A423,1,0)</f>
        <v>0</v>
      </c>
      <c r="T423">
        <f t="shared" si="31"/>
        <v>0</v>
      </c>
      <c r="U423" t="b">
        <f t="shared" si="32"/>
        <v>0</v>
      </c>
    </row>
    <row r="424" spans="1:21" x14ac:dyDescent="0.3">
      <c r="A424" s="65" t="str">
        <f>IF(OR(SexePerso="Féminin",'Perso Reloaded'!$C$6="Féminin"),"Hantée (ultime)","Hanté (ultime)")</f>
        <v>Hanté (ultime)</v>
      </c>
      <c r="B424">
        <f>IF(AtoutsHandicapsMatos!$N$5=A424,1,0)</f>
        <v>0</v>
      </c>
      <c r="C424">
        <f>IF(AtoutsHandicapsMatos!$N$6=A424,1,0)</f>
        <v>0</v>
      </c>
      <c r="D424">
        <f>IF(AtoutsHandicapsMatos!$N$7=A424,1,0)</f>
        <v>0</v>
      </c>
      <c r="E424">
        <f>IF(AtoutsHandicapsMatos!$N$8=A424,1,0)</f>
        <v>0</v>
      </c>
      <c r="F424">
        <f>IF(AtoutsHandicapsMatos!$N$9=A424,1,0)</f>
        <v>0</v>
      </c>
      <c r="G424">
        <f>IF(AtoutsHandicapsMatos!$O$10=A424,1,0)</f>
        <v>0</v>
      </c>
      <c r="H424">
        <f>IF(AtoutsHandicapsMatos!$O$11=A424,1,0)</f>
        <v>0</v>
      </c>
      <c r="I424">
        <f>IF(AtoutsHandicapsMatos!$O$12=A424,1,0)</f>
        <v>0</v>
      </c>
      <c r="J424">
        <f>IF(AtoutsHandicapsMatos!$N$13=A424,1,0)</f>
        <v>0</v>
      </c>
      <c r="K424">
        <f>IF(AtoutsHandicapsMatos!$N$14=A424,1,0)</f>
        <v>0</v>
      </c>
      <c r="L424">
        <f>IF('Perso Reloaded'!$L$30=A424,1,0)</f>
        <v>0</v>
      </c>
      <c r="M424">
        <f>IF('Perso Reloaded'!$L$31=A424,1,0)</f>
        <v>0</v>
      </c>
      <c r="N424">
        <f>IF('Perso Reloaded'!$L$32=A424,1,0)</f>
        <v>0</v>
      </c>
      <c r="O424">
        <f>IF('Perso Reloaded'!$L$33=A424,1,0)</f>
        <v>0</v>
      </c>
      <c r="P424">
        <f>IF('Perso Reloaded'!$L$34=A424,1,0)</f>
        <v>0</v>
      </c>
      <c r="Q424">
        <f>IF('Perso Reloaded'!$L$35=A424,1,0)</f>
        <v>0</v>
      </c>
      <c r="R424">
        <f>IF('Perso Reloaded'!$L$36=A424,1,0)</f>
        <v>0</v>
      </c>
      <c r="S424">
        <f>IF('Perso Reloaded'!$L$37=A424,1,0)</f>
        <v>0</v>
      </c>
      <c r="T424">
        <f t="shared" si="31"/>
        <v>0</v>
      </c>
      <c r="U424" t="b">
        <f t="shared" si="32"/>
        <v>0</v>
      </c>
    </row>
    <row r="425" spans="1:21" x14ac:dyDescent="0.3">
      <c r="A425" s="65" t="s">
        <v>236</v>
      </c>
      <c r="B425">
        <f>IF(AtoutsHandicapsMatos!$N$5=A425,1,0)</f>
        <v>0</v>
      </c>
      <c r="C425">
        <f>IF(AtoutsHandicapsMatos!$N$6=A425,1,0)</f>
        <v>0</v>
      </c>
      <c r="D425">
        <f>IF(AtoutsHandicapsMatos!$N$7=A425,1,0)</f>
        <v>0</v>
      </c>
      <c r="E425">
        <f>IF(AtoutsHandicapsMatos!$N$8=A425,1,0)</f>
        <v>0</v>
      </c>
      <c r="F425">
        <f>IF(AtoutsHandicapsMatos!$N$9=A425,1,0)</f>
        <v>0</v>
      </c>
      <c r="G425">
        <f>IF(AtoutsHandicapsMatos!$O$10=A425,1,0)</f>
        <v>0</v>
      </c>
      <c r="H425">
        <f>IF(AtoutsHandicapsMatos!$O$11=A425,1,0)</f>
        <v>0</v>
      </c>
      <c r="I425">
        <f>IF(AtoutsHandicapsMatos!$O$12=A425,1,0)</f>
        <v>0</v>
      </c>
      <c r="J425">
        <f>IF(AtoutsHandicapsMatos!$N$13=A425,1,0)</f>
        <v>0</v>
      </c>
      <c r="K425">
        <f>IF(AtoutsHandicapsMatos!$N$14=A425,1,0)</f>
        <v>0</v>
      </c>
      <c r="L425">
        <f>IF('Perso Reloaded'!$L$30=A425,1,0)</f>
        <v>0</v>
      </c>
      <c r="M425">
        <f>IF('Perso Reloaded'!$L$31=A425,1,0)</f>
        <v>0</v>
      </c>
      <c r="N425">
        <f>IF('Perso Reloaded'!$L$32=A425,1,0)</f>
        <v>0</v>
      </c>
      <c r="O425">
        <f>IF('Perso Reloaded'!$L$33=A425,1,0)</f>
        <v>0</v>
      </c>
      <c r="P425">
        <f>IF('Perso Reloaded'!$L$34=A425,1,0)</f>
        <v>0</v>
      </c>
      <c r="Q425">
        <f>IF('Perso Reloaded'!$L$35=A425,1,0)</f>
        <v>0</v>
      </c>
      <c r="R425">
        <f>IF('Perso Reloaded'!$L$36=A425,1,0)</f>
        <v>0</v>
      </c>
      <c r="S425">
        <f>IF('Perso Reloaded'!$L$37=A425,1,0)</f>
        <v>0</v>
      </c>
      <c r="T425">
        <f t="shared" si="31"/>
        <v>0</v>
      </c>
      <c r="U425" t="b">
        <f t="shared" si="32"/>
        <v>0</v>
      </c>
    </row>
    <row r="426" spans="1:21" x14ac:dyDescent="0.3">
      <c r="A426" s="65" t="s">
        <v>1149</v>
      </c>
      <c r="B426">
        <f>IF(AtoutsHandicapsMatos!$N$5=A426,1,0)</f>
        <v>0</v>
      </c>
      <c r="C426">
        <f>IF(AtoutsHandicapsMatos!$N$6=A426,1,0)</f>
        <v>0</v>
      </c>
      <c r="D426">
        <f>IF(AtoutsHandicapsMatos!$N$7=A426,1,0)</f>
        <v>0</v>
      </c>
      <c r="E426">
        <f>IF(AtoutsHandicapsMatos!$N$8=A426,1,0)</f>
        <v>0</v>
      </c>
      <c r="F426">
        <f>IF(AtoutsHandicapsMatos!$N$9=A426,1,0)</f>
        <v>0</v>
      </c>
      <c r="G426">
        <f>IF(AtoutsHandicapsMatos!$O$10=A426,1,0)</f>
        <v>0</v>
      </c>
      <c r="H426">
        <f>IF(AtoutsHandicapsMatos!$O$11=A426,1,0)</f>
        <v>0</v>
      </c>
      <c r="I426">
        <f>IF(AtoutsHandicapsMatos!$O$12=A426,1,0)</f>
        <v>0</v>
      </c>
      <c r="J426">
        <f>IF(AtoutsHandicapsMatos!$N$13=A426,1,0)</f>
        <v>0</v>
      </c>
      <c r="K426">
        <f>IF(AtoutsHandicapsMatos!$N$14=A426,1,0)</f>
        <v>0</v>
      </c>
      <c r="L426">
        <f>IF('Perso Reloaded'!$L$30=A426,1,0)</f>
        <v>0</v>
      </c>
      <c r="M426">
        <f>IF('Perso Reloaded'!$L$31=A426,1,0)</f>
        <v>0</v>
      </c>
      <c r="N426">
        <f>IF('Perso Reloaded'!$L$32=A426,1,0)</f>
        <v>0</v>
      </c>
      <c r="O426">
        <f>IF('Perso Reloaded'!$L$33=A426,1,0)</f>
        <v>0</v>
      </c>
      <c r="P426">
        <f>IF('Perso Reloaded'!$L$34=A426,1,0)</f>
        <v>0</v>
      </c>
      <c r="Q426">
        <f>IF('Perso Reloaded'!$L$35=A426,1,0)</f>
        <v>0</v>
      </c>
      <c r="R426">
        <f>IF('Perso Reloaded'!$L$36=A426,1,0)</f>
        <v>0</v>
      </c>
      <c r="S426">
        <f>IF('Perso Reloaded'!$L$37=A426,1,0)</f>
        <v>0</v>
      </c>
      <c r="T426">
        <f t="shared" si="31"/>
        <v>0</v>
      </c>
      <c r="U426" t="b">
        <f t="shared" si="32"/>
        <v>0</v>
      </c>
    </row>
    <row r="427" spans="1:21" x14ac:dyDescent="0.3">
      <c r="A427" s="65" t="s">
        <v>241</v>
      </c>
      <c r="B427">
        <f>IF(AtoutsHandicapsMatos!$N$5=A427,1,0)</f>
        <v>0</v>
      </c>
      <c r="C427">
        <f>IF(AtoutsHandicapsMatos!$N$6=A427,1,0)</f>
        <v>0</v>
      </c>
      <c r="D427">
        <f>IF(AtoutsHandicapsMatos!$N$7=A427,1,0)</f>
        <v>0</v>
      </c>
      <c r="E427">
        <f>IF(AtoutsHandicapsMatos!$N$8=A427,1,0)</f>
        <v>0</v>
      </c>
      <c r="F427">
        <f>IF(AtoutsHandicapsMatos!$N$9=A427,1,0)</f>
        <v>0</v>
      </c>
      <c r="G427">
        <f>IF(AtoutsHandicapsMatos!$O$10=A427,1,0)</f>
        <v>0</v>
      </c>
      <c r="H427">
        <f>IF(AtoutsHandicapsMatos!$O$11=A427,1,0)</f>
        <v>0</v>
      </c>
      <c r="I427">
        <f>IF(AtoutsHandicapsMatos!$O$12=A427,1,0)</f>
        <v>0</v>
      </c>
      <c r="J427">
        <f>IF(AtoutsHandicapsMatos!$N$13=A427,1,0)</f>
        <v>0</v>
      </c>
      <c r="K427">
        <f>IF(AtoutsHandicapsMatos!$N$14=A427,1,0)</f>
        <v>0</v>
      </c>
      <c r="L427">
        <f>IF('Perso Reloaded'!$L$30=A427,1,0)</f>
        <v>0</v>
      </c>
      <c r="M427">
        <f>IF('Perso Reloaded'!$L$31=A427,1,0)</f>
        <v>0</v>
      </c>
      <c r="N427">
        <f>IF('Perso Reloaded'!$L$32=A427,1,0)</f>
        <v>0</v>
      </c>
      <c r="O427">
        <f>IF('Perso Reloaded'!$L$33=A427,1,0)</f>
        <v>0</v>
      </c>
      <c r="P427">
        <f>IF('Perso Reloaded'!$L$34=A427,1,0)</f>
        <v>0</v>
      </c>
      <c r="Q427">
        <f>IF('Perso Reloaded'!$L$35=A427,1,0)</f>
        <v>0</v>
      </c>
      <c r="R427">
        <f>IF('Perso Reloaded'!$L$36=A427,1,0)</f>
        <v>0</v>
      </c>
      <c r="S427">
        <f>IF('Perso Reloaded'!$L$37=A427,1,0)</f>
        <v>0</v>
      </c>
      <c r="T427">
        <f t="shared" si="31"/>
        <v>0</v>
      </c>
      <c r="U427" t="b">
        <f t="shared" si="32"/>
        <v>0</v>
      </c>
    </row>
    <row r="428" spans="1:21" x14ac:dyDescent="0.3">
      <c r="A428" s="65" t="s">
        <v>238</v>
      </c>
      <c r="B428">
        <f>IF(AtoutsHandicapsMatos!$N$5=A428,1,0)</f>
        <v>0</v>
      </c>
      <c r="C428">
        <f>IF(AtoutsHandicapsMatos!$N$6=A428,1,0)</f>
        <v>0</v>
      </c>
      <c r="D428">
        <f>IF(AtoutsHandicapsMatos!$N$7=A428,1,0)</f>
        <v>0</v>
      </c>
      <c r="E428">
        <f>IF(AtoutsHandicapsMatos!$N$8=A428,1,0)</f>
        <v>0</v>
      </c>
      <c r="F428">
        <f>IF(AtoutsHandicapsMatos!$N$9=A428,1,0)</f>
        <v>0</v>
      </c>
      <c r="G428">
        <f>IF(AtoutsHandicapsMatos!$O$10=A428,1,0)</f>
        <v>0</v>
      </c>
      <c r="H428">
        <f>IF(AtoutsHandicapsMatos!$O$11=A428,1,0)</f>
        <v>0</v>
      </c>
      <c r="I428">
        <f>IF(AtoutsHandicapsMatos!$O$12=A428,1,0)</f>
        <v>0</v>
      </c>
      <c r="J428">
        <f>IF(AtoutsHandicapsMatos!$N$13=A428,1,0)</f>
        <v>0</v>
      </c>
      <c r="K428">
        <f>IF(AtoutsHandicapsMatos!$N$14=A428,1,0)</f>
        <v>0</v>
      </c>
      <c r="L428">
        <f>IF('Perso Reloaded'!$L$30=A428,1,0)</f>
        <v>0</v>
      </c>
      <c r="M428">
        <f>IF('Perso Reloaded'!$L$31=A428,1,0)</f>
        <v>0</v>
      </c>
      <c r="N428">
        <f>IF('Perso Reloaded'!$L$32=A428,1,0)</f>
        <v>0</v>
      </c>
      <c r="O428">
        <f>IF('Perso Reloaded'!$L$33=A428,1,0)</f>
        <v>0</v>
      </c>
      <c r="P428">
        <f>IF('Perso Reloaded'!$L$34=A428,1,0)</f>
        <v>0</v>
      </c>
      <c r="Q428">
        <f>IF('Perso Reloaded'!$L$35=A428,1,0)</f>
        <v>0</v>
      </c>
      <c r="R428">
        <f>IF('Perso Reloaded'!$L$36=A428,1,0)</f>
        <v>0</v>
      </c>
      <c r="S428">
        <f>IF('Perso Reloaded'!$L$37=A428,1,0)</f>
        <v>0</v>
      </c>
      <c r="T428">
        <f t="shared" si="31"/>
        <v>0</v>
      </c>
      <c r="U428" t="b">
        <f t="shared" si="32"/>
        <v>0</v>
      </c>
    </row>
    <row r="429" spans="1:21" x14ac:dyDescent="0.3">
      <c r="A429" s="65" t="s">
        <v>239</v>
      </c>
      <c r="B429">
        <f>IF(AtoutsHandicapsMatos!$N$5=A429,1,0)</f>
        <v>0</v>
      </c>
      <c r="C429">
        <f>IF(AtoutsHandicapsMatos!$N$6=A429,1,0)</f>
        <v>0</v>
      </c>
      <c r="D429">
        <f>IF(AtoutsHandicapsMatos!$N$7=A429,1,0)</f>
        <v>0</v>
      </c>
      <c r="E429">
        <f>IF(AtoutsHandicapsMatos!$N$8=A429,1,0)</f>
        <v>0</v>
      </c>
      <c r="F429">
        <f>IF(AtoutsHandicapsMatos!$N$9=A429,1,0)</f>
        <v>0</v>
      </c>
      <c r="G429">
        <f>IF(AtoutsHandicapsMatos!$O$10=A429,1,0)</f>
        <v>0</v>
      </c>
      <c r="H429">
        <f>IF(AtoutsHandicapsMatos!$O$11=A429,1,0)</f>
        <v>0</v>
      </c>
      <c r="I429">
        <f>IF(AtoutsHandicapsMatos!$O$12=A429,1,0)</f>
        <v>0</v>
      </c>
      <c r="J429">
        <f>IF(AtoutsHandicapsMatos!$N$13=A429,1,0)</f>
        <v>0</v>
      </c>
      <c r="K429">
        <f>IF(AtoutsHandicapsMatos!$N$14=A429,1,0)</f>
        <v>0</v>
      </c>
      <c r="L429">
        <f>IF('Perso Reloaded'!$L$30=A429,1,0)</f>
        <v>0</v>
      </c>
      <c r="M429">
        <f>IF('Perso Reloaded'!$L$31=A429,1,0)</f>
        <v>0</v>
      </c>
      <c r="N429">
        <f>IF('Perso Reloaded'!$L$32=A429,1,0)</f>
        <v>0</v>
      </c>
      <c r="O429">
        <f>IF('Perso Reloaded'!$L$33=A429,1,0)</f>
        <v>0</v>
      </c>
      <c r="P429">
        <f>IF('Perso Reloaded'!$L$34=A429,1,0)</f>
        <v>0</v>
      </c>
      <c r="Q429">
        <f>IF('Perso Reloaded'!$L$35=A429,1,0)</f>
        <v>0</v>
      </c>
      <c r="R429">
        <f>IF('Perso Reloaded'!$L$36=A429,1,0)</f>
        <v>0</v>
      </c>
      <c r="S429">
        <f>IF('Perso Reloaded'!$L$37=A429,1,0)</f>
        <v>0</v>
      </c>
      <c r="T429">
        <f t="shared" si="31"/>
        <v>0</v>
      </c>
      <c r="U429" t="b">
        <f t="shared" si="32"/>
        <v>0</v>
      </c>
    </row>
    <row r="430" spans="1:21" x14ac:dyDescent="0.3">
      <c r="A430" s="65" t="s">
        <v>240</v>
      </c>
      <c r="B430">
        <f>IF(AtoutsHandicapsMatos!$N$5=A430,1,0)</f>
        <v>0</v>
      </c>
      <c r="C430">
        <f>IF(AtoutsHandicapsMatos!$N$6=A430,1,0)</f>
        <v>0</v>
      </c>
      <c r="D430">
        <f>IF(AtoutsHandicapsMatos!$N$7=A430,1,0)</f>
        <v>0</v>
      </c>
      <c r="E430">
        <f>IF(AtoutsHandicapsMatos!$N$8=A430,1,0)</f>
        <v>0</v>
      </c>
      <c r="F430">
        <f>IF(AtoutsHandicapsMatos!$N$9=A430,1,0)</f>
        <v>0</v>
      </c>
      <c r="G430">
        <f>IF(AtoutsHandicapsMatos!$O$10=A430,1,0)</f>
        <v>0</v>
      </c>
      <c r="H430">
        <f>IF(AtoutsHandicapsMatos!$O$11=A430,1,0)</f>
        <v>0</v>
      </c>
      <c r="I430">
        <f>IF(AtoutsHandicapsMatos!$O$12=A430,1,0)</f>
        <v>0</v>
      </c>
      <c r="J430">
        <f>IF(AtoutsHandicapsMatos!$N$13=A430,1,0)</f>
        <v>0</v>
      </c>
      <c r="K430">
        <f>IF(AtoutsHandicapsMatos!$N$14=A430,1,0)</f>
        <v>0</v>
      </c>
      <c r="L430">
        <f>IF('Perso Reloaded'!$L$30=A430,1,0)</f>
        <v>0</v>
      </c>
      <c r="M430">
        <f>IF('Perso Reloaded'!$L$31=A430,1,0)</f>
        <v>0</v>
      </c>
      <c r="N430">
        <f>IF('Perso Reloaded'!$L$32=A430,1,0)</f>
        <v>0</v>
      </c>
      <c r="O430">
        <f>IF('Perso Reloaded'!$L$33=A430,1,0)</f>
        <v>0</v>
      </c>
      <c r="P430">
        <f>IF('Perso Reloaded'!$L$34=A430,1,0)</f>
        <v>0</v>
      </c>
      <c r="Q430">
        <f>IF('Perso Reloaded'!$L$35=A430,1,0)</f>
        <v>0</v>
      </c>
      <c r="R430">
        <f>IF('Perso Reloaded'!$L$36=A430,1,0)</f>
        <v>0</v>
      </c>
      <c r="S430">
        <f>IF('Perso Reloaded'!$L$37=A430,1,0)</f>
        <v>0</v>
      </c>
      <c r="T430">
        <f t="shared" si="31"/>
        <v>0</v>
      </c>
      <c r="U430" t="b">
        <f t="shared" si="32"/>
        <v>0</v>
      </c>
    </row>
    <row r="431" spans="1:21" x14ac:dyDescent="0.3">
      <c r="A431" s="65" t="s">
        <v>237</v>
      </c>
      <c r="B431">
        <f>IF(AtoutsHandicapsMatos!$N$5=A431,1,0)</f>
        <v>0</v>
      </c>
      <c r="C431">
        <f>IF(AtoutsHandicapsMatos!$N$6=A431,1,0)</f>
        <v>0</v>
      </c>
      <c r="D431">
        <f>IF(AtoutsHandicapsMatos!$N$7=A431,1,0)</f>
        <v>0</v>
      </c>
      <c r="E431">
        <f>IF(AtoutsHandicapsMatos!$N$8=A431,1,0)</f>
        <v>0</v>
      </c>
      <c r="F431">
        <f>IF(AtoutsHandicapsMatos!$N$9=A431,1,0)</f>
        <v>0</v>
      </c>
      <c r="G431">
        <f>IF(AtoutsHandicapsMatos!$O$10=A431,1,0)</f>
        <v>0</v>
      </c>
      <c r="H431">
        <f>IF(AtoutsHandicapsMatos!$O$11=A431,1,0)</f>
        <v>0</v>
      </c>
      <c r="I431">
        <f>IF(AtoutsHandicapsMatos!$O$12=A431,1,0)</f>
        <v>0</v>
      </c>
      <c r="J431">
        <f>IF(AtoutsHandicapsMatos!$N$13=A431,1,0)</f>
        <v>0</v>
      </c>
      <c r="K431">
        <f>IF(AtoutsHandicapsMatos!$N$14=A431,1,0)</f>
        <v>0</v>
      </c>
      <c r="L431">
        <f>IF('Perso Reloaded'!$L$30=A431,1,0)</f>
        <v>0</v>
      </c>
      <c r="M431">
        <f>IF('Perso Reloaded'!$L$31=A431,1,0)</f>
        <v>0</v>
      </c>
      <c r="N431">
        <f>IF('Perso Reloaded'!$L$32=A431,1,0)</f>
        <v>0</v>
      </c>
      <c r="O431">
        <f>IF('Perso Reloaded'!$L$33=A431,1,0)</f>
        <v>0</v>
      </c>
      <c r="P431">
        <f>IF('Perso Reloaded'!$L$34=A431,1,0)</f>
        <v>0</v>
      </c>
      <c r="Q431">
        <f>IF('Perso Reloaded'!$L$35=A431,1,0)</f>
        <v>0</v>
      </c>
      <c r="R431">
        <f>IF('Perso Reloaded'!$L$36=A431,1,0)</f>
        <v>0</v>
      </c>
      <c r="S431">
        <f>IF('Perso Reloaded'!$L$37=A431,1,0)</f>
        <v>0</v>
      </c>
      <c r="T431">
        <f t="shared" si="31"/>
        <v>0</v>
      </c>
      <c r="U431" t="b">
        <f t="shared" si="32"/>
        <v>0</v>
      </c>
    </row>
    <row r="432" spans="1:21" x14ac:dyDescent="0.3">
      <c r="A432" s="65" t="s">
        <v>242</v>
      </c>
      <c r="B432">
        <f>IF(AtoutsHandicapsMatos!$N$5=A432,1,0)</f>
        <v>0</v>
      </c>
      <c r="C432">
        <f>IF(AtoutsHandicapsMatos!$N$6=A432,1,0)</f>
        <v>0</v>
      </c>
      <c r="D432">
        <f>IF(AtoutsHandicapsMatos!$N$7=A432,1,0)</f>
        <v>0</v>
      </c>
      <c r="E432">
        <f>IF(AtoutsHandicapsMatos!$N$8=A432,1,0)</f>
        <v>0</v>
      </c>
      <c r="F432">
        <f>IF(AtoutsHandicapsMatos!$N$9=A432,1,0)</f>
        <v>0</v>
      </c>
      <c r="G432">
        <f>IF(AtoutsHandicapsMatos!$O$10=A432,1,0)</f>
        <v>0</v>
      </c>
      <c r="H432">
        <f>IF(AtoutsHandicapsMatos!$O$11=A432,1,0)</f>
        <v>0</v>
      </c>
      <c r="I432">
        <f>IF(AtoutsHandicapsMatos!$O$12=A432,1,0)</f>
        <v>0</v>
      </c>
      <c r="J432">
        <f>IF(AtoutsHandicapsMatos!$N$13=A432,1,0)</f>
        <v>0</v>
      </c>
      <c r="K432">
        <f>IF(AtoutsHandicapsMatos!$N$14=A432,1,0)</f>
        <v>0</v>
      </c>
      <c r="L432">
        <f>IF('Perso Reloaded'!$L$30=A432,1,0)</f>
        <v>0</v>
      </c>
      <c r="M432">
        <f>IF('Perso Reloaded'!$L$31=A432,1,0)</f>
        <v>0</v>
      </c>
      <c r="N432">
        <f>IF('Perso Reloaded'!$L$32=A432,1,0)</f>
        <v>0</v>
      </c>
      <c r="O432">
        <f>IF('Perso Reloaded'!$L$33=A432,1,0)</f>
        <v>0</v>
      </c>
      <c r="P432">
        <f>IF('Perso Reloaded'!$L$34=A432,1,0)</f>
        <v>0</v>
      </c>
      <c r="Q432">
        <f>IF('Perso Reloaded'!$L$35=A432,1,0)</f>
        <v>0</v>
      </c>
      <c r="R432">
        <f>IF('Perso Reloaded'!$L$36=A432,1,0)</f>
        <v>0</v>
      </c>
      <c r="S432">
        <f>IF('Perso Reloaded'!$L$37=A432,1,0)</f>
        <v>0</v>
      </c>
      <c r="T432">
        <f t="shared" si="31"/>
        <v>0</v>
      </c>
      <c r="U432" t="b">
        <f t="shared" si="32"/>
        <v>0</v>
      </c>
    </row>
    <row r="433" spans="1:21" x14ac:dyDescent="0.3">
      <c r="A433" s="65" t="str">
        <f>IF(OR(SexePerso="Féminin",'Perso Reloaded'!$C$6="Féminin"),"Ignorante","Ignorant")</f>
        <v>Ignorant</v>
      </c>
      <c r="B433">
        <f>IF(AtoutsHandicapsMatos!$N$5=A433,1,0)</f>
        <v>0</v>
      </c>
      <c r="C433">
        <f>IF(AtoutsHandicapsMatos!$N$6=A433,1,0)</f>
        <v>0</v>
      </c>
      <c r="D433">
        <f>IF(AtoutsHandicapsMatos!$N$7=A433,1,0)</f>
        <v>0</v>
      </c>
      <c r="E433">
        <f>IF(AtoutsHandicapsMatos!$N$8=A433,1,0)</f>
        <v>0</v>
      </c>
      <c r="F433">
        <f>IF(AtoutsHandicapsMatos!$N$9=A433,1,0)</f>
        <v>0</v>
      </c>
      <c r="G433">
        <f>IF(AtoutsHandicapsMatos!$O$10=A433,1,0)</f>
        <v>0</v>
      </c>
      <c r="H433">
        <f>IF(AtoutsHandicapsMatos!$O$11=A433,1,0)</f>
        <v>0</v>
      </c>
      <c r="I433">
        <f>IF(AtoutsHandicapsMatos!$O$12=A433,1,0)</f>
        <v>0</v>
      </c>
      <c r="J433">
        <f>IF(AtoutsHandicapsMatos!$N$13=A433,1,0)</f>
        <v>0</v>
      </c>
      <c r="K433">
        <f>IF(AtoutsHandicapsMatos!$N$14=A433,1,0)</f>
        <v>0</v>
      </c>
      <c r="L433">
        <f>IF('Perso Reloaded'!$L$30=A433,1,0)</f>
        <v>0</v>
      </c>
      <c r="M433">
        <f>IF('Perso Reloaded'!$L$31=A433,1,0)</f>
        <v>0</v>
      </c>
      <c r="N433">
        <f>IF('Perso Reloaded'!$L$32=A433,1,0)</f>
        <v>0</v>
      </c>
      <c r="O433">
        <f>IF('Perso Reloaded'!$L$33=A433,1,0)</f>
        <v>0</v>
      </c>
      <c r="P433">
        <f>IF('Perso Reloaded'!$L$34=A433,1,0)</f>
        <v>0</v>
      </c>
      <c r="Q433">
        <f>IF('Perso Reloaded'!$L$35=A433,1,0)</f>
        <v>0</v>
      </c>
      <c r="R433">
        <f>IF('Perso Reloaded'!$L$36=A433,1,0)</f>
        <v>0</v>
      </c>
      <c r="S433">
        <f>IF('Perso Reloaded'!$L$37=A433,1,0)</f>
        <v>0</v>
      </c>
      <c r="T433">
        <f t="shared" si="31"/>
        <v>0</v>
      </c>
      <c r="U433" t="b">
        <f t="shared" ref="U433" si="35">IF(T433=0,FALSE,TRUE)</f>
        <v>0</v>
      </c>
    </row>
    <row r="434" spans="1:21" x14ac:dyDescent="0.3">
      <c r="A434" s="65" t="str">
        <f>IF(OR(SexePerso="Féminin",'Perso Reloaded'!$C$6="Féminin"),"Illétrée","Illétré")</f>
        <v>Illétré</v>
      </c>
      <c r="B434">
        <f>IF(AtoutsHandicapsMatos!$N$5=A434,1,0)</f>
        <v>0</v>
      </c>
      <c r="C434">
        <f>IF(AtoutsHandicapsMatos!$N$6=A434,1,0)</f>
        <v>0</v>
      </c>
      <c r="D434">
        <f>IF(AtoutsHandicapsMatos!$N$7=A434,1,0)</f>
        <v>0</v>
      </c>
      <c r="E434">
        <f>IF(AtoutsHandicapsMatos!$N$8=A434,1,0)</f>
        <v>0</v>
      </c>
      <c r="F434">
        <f>IF(AtoutsHandicapsMatos!$N$9=A434,1,0)</f>
        <v>0</v>
      </c>
      <c r="G434">
        <f>IF(AtoutsHandicapsMatos!$O$10=A434,1,0)</f>
        <v>0</v>
      </c>
      <c r="H434">
        <f>IF(AtoutsHandicapsMatos!$O$11=A434,1,0)</f>
        <v>0</v>
      </c>
      <c r="I434">
        <f>IF(AtoutsHandicapsMatos!$O$12=A434,1,0)</f>
        <v>0</v>
      </c>
      <c r="J434">
        <f>IF(AtoutsHandicapsMatos!$N$13=A434,1,0)</f>
        <v>0</v>
      </c>
      <c r="K434">
        <f>IF(AtoutsHandicapsMatos!$N$14=A434,1,0)</f>
        <v>0</v>
      </c>
      <c r="L434">
        <f>IF('Perso Reloaded'!$L$30=A434,1,0)</f>
        <v>0</v>
      </c>
      <c r="M434">
        <f>IF('Perso Reloaded'!$L$31=A434,1,0)</f>
        <v>0</v>
      </c>
      <c r="N434">
        <f>IF('Perso Reloaded'!$L$32=A434,1,0)</f>
        <v>0</v>
      </c>
      <c r="O434">
        <f>IF('Perso Reloaded'!$L$33=A434,1,0)</f>
        <v>0</v>
      </c>
      <c r="P434">
        <f>IF('Perso Reloaded'!$L$34=A434,1,0)</f>
        <v>0</v>
      </c>
      <c r="Q434">
        <f>IF('Perso Reloaded'!$L$35=A434,1,0)</f>
        <v>0</v>
      </c>
      <c r="R434">
        <f>IF('Perso Reloaded'!$L$36=A434,1,0)</f>
        <v>0</v>
      </c>
      <c r="S434">
        <f>IF('Perso Reloaded'!$L$37=A434,1,0)</f>
        <v>0</v>
      </c>
      <c r="T434">
        <f t="shared" si="31"/>
        <v>0</v>
      </c>
      <c r="U434" t="b">
        <f t="shared" si="32"/>
        <v>0</v>
      </c>
    </row>
    <row r="435" spans="1:21" x14ac:dyDescent="0.3">
      <c r="A435" s="65" t="str">
        <f>IF(OR(SexePerso="Féminin",'Perso Reloaded'!$C$6="Féminin"),"Impulsive","Impulsif")</f>
        <v>Impulsif</v>
      </c>
      <c r="B435">
        <f>IF(AtoutsHandicapsMatos!$N$5=A435,1,0)</f>
        <v>0</v>
      </c>
      <c r="C435">
        <f>IF(AtoutsHandicapsMatos!$N$6=A435,1,0)</f>
        <v>0</v>
      </c>
      <c r="D435">
        <f>IF(AtoutsHandicapsMatos!$N$7=A435,1,0)</f>
        <v>0</v>
      </c>
      <c r="E435">
        <f>IF(AtoutsHandicapsMatos!$N$8=A435,1,0)</f>
        <v>0</v>
      </c>
      <c r="F435">
        <f>IF(AtoutsHandicapsMatos!$N$9=A435,1,0)</f>
        <v>0</v>
      </c>
      <c r="G435">
        <f>IF(AtoutsHandicapsMatos!$O$10=A435,1,0)</f>
        <v>0</v>
      </c>
      <c r="H435">
        <f>IF(AtoutsHandicapsMatos!$O$11=A435,1,0)</f>
        <v>0</v>
      </c>
      <c r="I435">
        <f>IF(AtoutsHandicapsMatos!$O$12=A435,1,0)</f>
        <v>0</v>
      </c>
      <c r="J435">
        <f>IF(AtoutsHandicapsMatos!$N$13=A435,1,0)</f>
        <v>0</v>
      </c>
      <c r="K435">
        <f>IF(AtoutsHandicapsMatos!$N$14=A435,1,0)</f>
        <v>0</v>
      </c>
      <c r="L435">
        <f>IF('Perso Reloaded'!$L$30=A435,1,0)</f>
        <v>0</v>
      </c>
      <c r="M435">
        <f>IF('Perso Reloaded'!$L$31=A435,1,0)</f>
        <v>0</v>
      </c>
      <c r="N435">
        <f>IF('Perso Reloaded'!$L$32=A435,1,0)</f>
        <v>0</v>
      </c>
      <c r="O435">
        <f>IF('Perso Reloaded'!$L$33=A435,1,0)</f>
        <v>0</v>
      </c>
      <c r="P435">
        <f>IF('Perso Reloaded'!$L$34=A435,1,0)</f>
        <v>0</v>
      </c>
      <c r="Q435">
        <f>IF('Perso Reloaded'!$L$35=A435,1,0)</f>
        <v>0</v>
      </c>
      <c r="R435">
        <f>IF('Perso Reloaded'!$L$36=A435,1,0)</f>
        <v>0</v>
      </c>
      <c r="S435">
        <f>IF('Perso Reloaded'!$L$37=A435,1,0)</f>
        <v>0</v>
      </c>
      <c r="T435">
        <f t="shared" si="31"/>
        <v>0</v>
      </c>
      <c r="U435" t="b">
        <f t="shared" si="32"/>
        <v>0</v>
      </c>
    </row>
    <row r="436" spans="1:21" x14ac:dyDescent="0.3">
      <c r="A436" s="65" t="str">
        <f>IF(OR(SexePerso="Féminin",'Perso Reloaded'!$C$6="Féminin"),"Intolérante/ Rancunière/ Chauvaine (faiblement ou peu courant)","Intolérant/ Rancunier/ Chauvin (faiblement ou peu courant)")</f>
        <v>Intolérant/ Rancunier/ Chauvin (faiblement ou peu courant)</v>
      </c>
      <c r="B436">
        <f>IF(AtoutsHandicapsMatos!$N$5=A436,1,0)</f>
        <v>0</v>
      </c>
      <c r="C436">
        <f>IF(AtoutsHandicapsMatos!$N$6=A436,1,0)</f>
        <v>0</v>
      </c>
      <c r="D436">
        <f>IF(AtoutsHandicapsMatos!$N$7=A436,1,0)</f>
        <v>0</v>
      </c>
      <c r="E436">
        <f>IF(AtoutsHandicapsMatos!$N$8=A436,1,0)</f>
        <v>0</v>
      </c>
      <c r="F436">
        <f>IF(AtoutsHandicapsMatos!$N$9=A436,1,0)</f>
        <v>0</v>
      </c>
      <c r="G436">
        <f>IF(AtoutsHandicapsMatos!$O$10=A436,1,0)</f>
        <v>0</v>
      </c>
      <c r="H436">
        <f>IF(AtoutsHandicapsMatos!$O$11=A436,1,0)</f>
        <v>0</v>
      </c>
      <c r="I436">
        <f>IF(AtoutsHandicapsMatos!$O$12=A436,1,0)</f>
        <v>0</v>
      </c>
      <c r="J436">
        <f>IF(AtoutsHandicapsMatos!$N$13=A436,1,0)</f>
        <v>0</v>
      </c>
      <c r="K436">
        <f>IF(AtoutsHandicapsMatos!$N$14=A436,1,0)</f>
        <v>0</v>
      </c>
      <c r="L436">
        <f>IF('Perso Reloaded'!$L$30=A436,1,0)</f>
        <v>0</v>
      </c>
      <c r="M436">
        <f>IF('Perso Reloaded'!$L$31=A436,1,0)</f>
        <v>0</v>
      </c>
      <c r="N436">
        <f>IF('Perso Reloaded'!$L$32=A436,1,0)</f>
        <v>0</v>
      </c>
      <c r="O436">
        <f>IF('Perso Reloaded'!$L$33=A436,1,0)</f>
        <v>0</v>
      </c>
      <c r="P436">
        <f>IF('Perso Reloaded'!$L$34=A436,1,0)</f>
        <v>0</v>
      </c>
      <c r="Q436">
        <f>IF('Perso Reloaded'!$L$35=A436,1,0)</f>
        <v>0</v>
      </c>
      <c r="R436">
        <f>IF('Perso Reloaded'!$L$36=A436,1,0)</f>
        <v>0</v>
      </c>
      <c r="S436">
        <f>IF('Perso Reloaded'!$L$37=A436,1,0)</f>
        <v>0</v>
      </c>
      <c r="T436">
        <f t="shared" si="31"/>
        <v>0</v>
      </c>
      <c r="U436" t="b">
        <f t="shared" si="32"/>
        <v>0</v>
      </c>
    </row>
    <row r="437" spans="1:21" x14ac:dyDescent="0.3">
      <c r="A437" s="65" t="str">
        <f>IF(OR(SexePerso="Féminin",'Perso Reloaded'!$C$6="Féminin"),"Intolérante/ Rancunière/ Chauvaine (moyennement ou courant)","Intolérant/ Rancunier/ Chauvin (moyennement ou courant)")</f>
        <v>Intolérant/ Rancunier/ Chauvin (moyennement ou courant)</v>
      </c>
      <c r="B437">
        <f>IF(AtoutsHandicapsMatos!$N$5=A437,1,0)</f>
        <v>0</v>
      </c>
      <c r="C437">
        <f>IF(AtoutsHandicapsMatos!$N$6=A437,1,0)</f>
        <v>0</v>
      </c>
      <c r="D437">
        <f>IF(AtoutsHandicapsMatos!$N$7=A437,1,0)</f>
        <v>0</v>
      </c>
      <c r="E437">
        <f>IF(AtoutsHandicapsMatos!$N$8=A437,1,0)</f>
        <v>0</v>
      </c>
      <c r="F437">
        <f>IF(AtoutsHandicapsMatos!$N$9=A437,1,0)</f>
        <v>0</v>
      </c>
      <c r="G437">
        <f>IF(AtoutsHandicapsMatos!$O$10=A437,1,0)</f>
        <v>0</v>
      </c>
      <c r="H437">
        <f>IF(AtoutsHandicapsMatos!$O$11=A437,1,0)</f>
        <v>0</v>
      </c>
      <c r="I437">
        <f>IF(AtoutsHandicapsMatos!$O$12=A437,1,0)</f>
        <v>0</v>
      </c>
      <c r="J437">
        <f>IF(AtoutsHandicapsMatos!$N$13=A437,1,0)</f>
        <v>0</v>
      </c>
      <c r="K437">
        <f>IF(AtoutsHandicapsMatos!$N$14=A437,1,0)</f>
        <v>0</v>
      </c>
      <c r="L437">
        <f>IF('Perso Reloaded'!$L$30=A437,1,0)</f>
        <v>0</v>
      </c>
      <c r="M437">
        <f>IF('Perso Reloaded'!$L$31=A437,1,0)</f>
        <v>0</v>
      </c>
      <c r="N437">
        <f>IF('Perso Reloaded'!$L$32=A437,1,0)</f>
        <v>0</v>
      </c>
      <c r="O437">
        <f>IF('Perso Reloaded'!$L$33=A437,1,0)</f>
        <v>0</v>
      </c>
      <c r="P437">
        <f>IF('Perso Reloaded'!$L$34=A437,1,0)</f>
        <v>0</v>
      </c>
      <c r="Q437">
        <f>IF('Perso Reloaded'!$L$35=A437,1,0)</f>
        <v>0</v>
      </c>
      <c r="R437">
        <f>IF('Perso Reloaded'!$L$36=A437,1,0)</f>
        <v>0</v>
      </c>
      <c r="S437">
        <f>IF('Perso Reloaded'!$L$37=A437,1,0)</f>
        <v>0</v>
      </c>
      <c r="T437">
        <f t="shared" si="31"/>
        <v>0</v>
      </c>
      <c r="U437" t="b">
        <f t="shared" si="32"/>
        <v>0</v>
      </c>
    </row>
    <row r="438" spans="1:21" x14ac:dyDescent="0.3">
      <c r="A438" s="65" t="str">
        <f>IF(OR(SexePerso="Féminin",'Perso Reloaded'!$C$6="Féminin"),"Intolérante/ Rancunière/ Chauvaine (fortemment ou très courant)","Intolérant/ Rancunier/ Chauvin (fortemment ou très courant)")</f>
        <v>Intolérant/ Rancunier/ Chauvin (fortemment ou très courant)</v>
      </c>
      <c r="B438">
        <f>IF(AtoutsHandicapsMatos!$N$5=A438,1,0)</f>
        <v>0</v>
      </c>
      <c r="C438">
        <f>IF(AtoutsHandicapsMatos!$N$6=A438,1,0)</f>
        <v>0</v>
      </c>
      <c r="D438">
        <f>IF(AtoutsHandicapsMatos!$N$7=A438,1,0)</f>
        <v>0</v>
      </c>
      <c r="E438">
        <f>IF(AtoutsHandicapsMatos!$N$8=A438,1,0)</f>
        <v>0</v>
      </c>
      <c r="F438">
        <f>IF(AtoutsHandicapsMatos!$N$9=A438,1,0)</f>
        <v>0</v>
      </c>
      <c r="G438">
        <f>IF(AtoutsHandicapsMatos!$O$10=A438,1,0)</f>
        <v>0</v>
      </c>
      <c r="H438">
        <f>IF(AtoutsHandicapsMatos!$O$11=A438,1,0)</f>
        <v>0</v>
      </c>
      <c r="I438">
        <f>IF(AtoutsHandicapsMatos!$O$12=A438,1,0)</f>
        <v>0</v>
      </c>
      <c r="J438">
        <f>IF(AtoutsHandicapsMatos!$N$13=A438,1,0)</f>
        <v>0</v>
      </c>
      <c r="K438">
        <f>IF(AtoutsHandicapsMatos!$N$14=A438,1,0)</f>
        <v>0</v>
      </c>
      <c r="L438">
        <f>IF('Perso Reloaded'!$L$30=A438,1,0)</f>
        <v>0</v>
      </c>
      <c r="M438">
        <f>IF('Perso Reloaded'!$L$31=A438,1,0)</f>
        <v>0</v>
      </c>
      <c r="N438">
        <f>IF('Perso Reloaded'!$L$32=A438,1,0)</f>
        <v>0</v>
      </c>
      <c r="O438">
        <f>IF('Perso Reloaded'!$L$33=A438,1,0)</f>
        <v>0</v>
      </c>
      <c r="P438">
        <f>IF('Perso Reloaded'!$L$34=A438,1,0)</f>
        <v>0</v>
      </c>
      <c r="Q438">
        <f>IF('Perso Reloaded'!$L$35=A438,1,0)</f>
        <v>0</v>
      </c>
      <c r="R438">
        <f>IF('Perso Reloaded'!$L$36=A438,1,0)</f>
        <v>0</v>
      </c>
      <c r="S438">
        <f>IF('Perso Reloaded'!$L$37=A438,1,0)</f>
        <v>0</v>
      </c>
      <c r="T438">
        <f t="shared" si="31"/>
        <v>0</v>
      </c>
      <c r="U438" t="b">
        <f t="shared" si="32"/>
        <v>0</v>
      </c>
    </row>
    <row r="439" spans="1:21" x14ac:dyDescent="0.3">
      <c r="A439" s="65" t="str">
        <f>IF(OR(SexePerso="Féminin",'Perso Reloaded'!$C$6="Féminin"),"Jane la Trouille/Couarde","Joe la Trouille/Couard")</f>
        <v>Joe la Trouille/Couard</v>
      </c>
      <c r="B439">
        <f>IF(AtoutsHandicapsMatos!$N$5=A439,1,0)</f>
        <v>0</v>
      </c>
      <c r="C439">
        <f>IF(AtoutsHandicapsMatos!$N$6=A439,1,0)</f>
        <v>0</v>
      </c>
      <c r="D439">
        <f>IF(AtoutsHandicapsMatos!$N$7=A439,1,0)</f>
        <v>0</v>
      </c>
      <c r="E439">
        <f>IF(AtoutsHandicapsMatos!$N$8=A439,1,0)</f>
        <v>0</v>
      </c>
      <c r="F439">
        <f>IF(AtoutsHandicapsMatos!$N$9=A439,1,0)</f>
        <v>0</v>
      </c>
      <c r="G439">
        <f>IF(AtoutsHandicapsMatos!$O$10=A439,1,0)</f>
        <v>0</v>
      </c>
      <c r="H439">
        <f>IF(AtoutsHandicapsMatos!$O$11=A439,1,0)</f>
        <v>0</v>
      </c>
      <c r="I439">
        <f>IF(AtoutsHandicapsMatos!$O$12=A439,1,0)</f>
        <v>0</v>
      </c>
      <c r="J439">
        <f>IF(AtoutsHandicapsMatos!$N$13=A439,1,0)</f>
        <v>0</v>
      </c>
      <c r="K439">
        <f>IF(AtoutsHandicapsMatos!$N$14=A439,1,0)</f>
        <v>0</v>
      </c>
      <c r="L439">
        <f>IF('Perso Reloaded'!$L$30=A439,1,0)</f>
        <v>0</v>
      </c>
      <c r="M439">
        <f>IF('Perso Reloaded'!$L$31=A439,1,0)</f>
        <v>0</v>
      </c>
      <c r="N439">
        <f>IF('Perso Reloaded'!$L$32=A439,1,0)</f>
        <v>0</v>
      </c>
      <c r="O439">
        <f>IF('Perso Reloaded'!$L$33=A439,1,0)</f>
        <v>0</v>
      </c>
      <c r="P439">
        <f>IF('Perso Reloaded'!$L$34=A439,1,0)</f>
        <v>0</v>
      </c>
      <c r="Q439">
        <f>IF('Perso Reloaded'!$L$35=A439,1,0)</f>
        <v>0</v>
      </c>
      <c r="R439">
        <f>IF('Perso Reloaded'!$L$36=A439,1,0)</f>
        <v>0</v>
      </c>
      <c r="S439">
        <f>IF('Perso Reloaded'!$L$37=A439,1,0)</f>
        <v>0</v>
      </c>
      <c r="T439">
        <f t="shared" si="31"/>
        <v>0</v>
      </c>
      <c r="U439" t="b">
        <f t="shared" si="32"/>
        <v>0</v>
      </c>
    </row>
    <row r="440" spans="1:21" x14ac:dyDescent="0.3">
      <c r="A440" s="65" t="str">
        <f>IF(OR(SexePerso="Féminin",'Perso Reloaded'!$C$6="Féminin"),"Laide comme un pou/Moche","Laid comme un pou/Moche")</f>
        <v>Laid comme un pou/Moche</v>
      </c>
      <c r="B440">
        <f>IF(AtoutsHandicapsMatos!$N$5=A440,1,0)</f>
        <v>0</v>
      </c>
      <c r="C440">
        <f>IF(AtoutsHandicapsMatos!$N$6=A440,1,0)</f>
        <v>0</v>
      </c>
      <c r="D440">
        <f>IF(AtoutsHandicapsMatos!$N$7=A440,1,0)</f>
        <v>0</v>
      </c>
      <c r="E440">
        <f>IF(AtoutsHandicapsMatos!$N$8=A440,1,0)</f>
        <v>0</v>
      </c>
      <c r="F440">
        <f>IF(AtoutsHandicapsMatos!$N$9=A440,1,0)</f>
        <v>0</v>
      </c>
      <c r="G440">
        <f>IF(AtoutsHandicapsMatos!$O$10=A440,1,0)</f>
        <v>0</v>
      </c>
      <c r="H440">
        <f>IF(AtoutsHandicapsMatos!$O$11=A440,1,0)</f>
        <v>0</v>
      </c>
      <c r="I440">
        <f>IF(AtoutsHandicapsMatos!$O$12=A440,1,0)</f>
        <v>0</v>
      </c>
      <c r="J440">
        <f>IF(AtoutsHandicapsMatos!$N$13=A440,1,0)</f>
        <v>0</v>
      </c>
      <c r="K440">
        <f>IF(AtoutsHandicapsMatos!$N$14=A440,1,0)</f>
        <v>0</v>
      </c>
      <c r="L440">
        <f>IF('Perso Reloaded'!$L$30=A440,1,0)</f>
        <v>0</v>
      </c>
      <c r="M440">
        <f>IF('Perso Reloaded'!$L$31=A440,1,0)</f>
        <v>0</v>
      </c>
      <c r="N440">
        <f>IF('Perso Reloaded'!$L$32=A440,1,0)</f>
        <v>0</v>
      </c>
      <c r="O440">
        <f>IF('Perso Reloaded'!$L$33=A440,1,0)</f>
        <v>0</v>
      </c>
      <c r="P440">
        <f>IF('Perso Reloaded'!$L$34=A440,1,0)</f>
        <v>0</v>
      </c>
      <c r="Q440">
        <f>IF('Perso Reloaded'!$L$35=A440,1,0)</f>
        <v>0</v>
      </c>
      <c r="R440">
        <f>IF('Perso Reloaded'!$L$36=A440,1,0)</f>
        <v>0</v>
      </c>
      <c r="S440">
        <f>IF('Perso Reloaded'!$L$37=A440,1,0)</f>
        <v>0</v>
      </c>
      <c r="T440">
        <f t="shared" si="31"/>
        <v>0</v>
      </c>
      <c r="U440" t="b">
        <f t="shared" si="32"/>
        <v>0</v>
      </c>
    </row>
    <row r="441" spans="1:21" x14ac:dyDescent="0.3">
      <c r="A441" s="65" t="s">
        <v>3651</v>
      </c>
      <c r="B441">
        <f>IF(AtoutsHandicapsMatos!$N$5=A441,1,0)</f>
        <v>0</v>
      </c>
      <c r="C441">
        <f>IF(AtoutsHandicapsMatos!$N$6=A441,1,0)</f>
        <v>0</v>
      </c>
      <c r="D441">
        <f>IF(AtoutsHandicapsMatos!$N$7=A441,1,0)</f>
        <v>0</v>
      </c>
      <c r="E441">
        <f>IF(AtoutsHandicapsMatos!$N$8=A441,1,0)</f>
        <v>0</v>
      </c>
      <c r="F441">
        <f>IF(AtoutsHandicapsMatos!$N$9=A441,1,0)</f>
        <v>0</v>
      </c>
      <c r="G441">
        <f>IF(AtoutsHandicapsMatos!$O$10=A441,1,0)</f>
        <v>0</v>
      </c>
      <c r="H441">
        <f>IF(AtoutsHandicapsMatos!$O$11=A441,1,0)</f>
        <v>0</v>
      </c>
      <c r="I441">
        <f>IF(AtoutsHandicapsMatos!$O$12=A441,1,0)</f>
        <v>0</v>
      </c>
      <c r="J441">
        <f>IF(AtoutsHandicapsMatos!$N$13=A441,1,0)</f>
        <v>0</v>
      </c>
      <c r="K441">
        <f>IF(AtoutsHandicapsMatos!$N$14=A441,1,0)</f>
        <v>0</v>
      </c>
      <c r="L441">
        <f>IF('Perso Reloaded'!$L$30=A441,1,0)</f>
        <v>0</v>
      </c>
      <c r="M441">
        <f>IF('Perso Reloaded'!$L$31=A441,1,0)</f>
        <v>0</v>
      </c>
      <c r="N441">
        <f>IF('Perso Reloaded'!$L$32=A441,1,0)</f>
        <v>0</v>
      </c>
      <c r="O441">
        <f>IF('Perso Reloaded'!$L$33=A441,1,0)</f>
        <v>0</v>
      </c>
      <c r="P441">
        <f>IF('Perso Reloaded'!$L$34=A441,1,0)</f>
        <v>0</v>
      </c>
      <c r="Q441">
        <f>IF('Perso Reloaded'!$L$35=A441,1,0)</f>
        <v>0</v>
      </c>
      <c r="R441">
        <f>IF('Perso Reloaded'!$L$36=A441,1,0)</f>
        <v>0</v>
      </c>
      <c r="S441">
        <f>IF('Perso Reloaded'!$L$37=A441,1,0)</f>
        <v>0</v>
      </c>
      <c r="T441">
        <f t="shared" si="31"/>
        <v>0</v>
      </c>
      <c r="U441" t="b">
        <f t="shared" si="32"/>
        <v>0</v>
      </c>
    </row>
    <row r="442" spans="1:21" x14ac:dyDescent="0.3">
      <c r="A442" s="65" t="s">
        <v>3652</v>
      </c>
      <c r="B442">
        <f>IF(AtoutsHandicapsMatos!$N$5=A442,1,0)</f>
        <v>0</v>
      </c>
      <c r="C442">
        <f>IF(AtoutsHandicapsMatos!$N$6=A442,1,0)</f>
        <v>0</v>
      </c>
      <c r="D442">
        <f>IF(AtoutsHandicapsMatos!$N$7=A442,1,0)</f>
        <v>0</v>
      </c>
      <c r="E442">
        <f>IF(AtoutsHandicapsMatos!$N$8=A442,1,0)</f>
        <v>0</v>
      </c>
      <c r="F442">
        <f>IF(AtoutsHandicapsMatos!$N$9=A442,1,0)</f>
        <v>0</v>
      </c>
      <c r="G442">
        <f>IF(AtoutsHandicapsMatos!$O$10=A442,1,0)</f>
        <v>0</v>
      </c>
      <c r="H442">
        <f>IF(AtoutsHandicapsMatos!$O$11=A442,1,0)</f>
        <v>0</v>
      </c>
      <c r="I442">
        <f>IF(AtoutsHandicapsMatos!$O$12=A442,1,0)</f>
        <v>0</v>
      </c>
      <c r="J442">
        <f>IF(AtoutsHandicapsMatos!$N$13=A442,1,0)</f>
        <v>0</v>
      </c>
      <c r="K442">
        <f>IF(AtoutsHandicapsMatos!$N$14=A442,1,0)</f>
        <v>0</v>
      </c>
      <c r="L442">
        <f>IF('Perso Reloaded'!$L$30=A442,1,0)</f>
        <v>0</v>
      </c>
      <c r="M442">
        <f>IF('Perso Reloaded'!$L$31=A442,1,0)</f>
        <v>0</v>
      </c>
      <c r="N442">
        <f>IF('Perso Reloaded'!$L$32=A442,1,0)</f>
        <v>0</v>
      </c>
      <c r="O442">
        <f>IF('Perso Reloaded'!$L$33=A442,1,0)</f>
        <v>0</v>
      </c>
      <c r="P442">
        <f>IF('Perso Reloaded'!$L$34=A442,1,0)</f>
        <v>0</v>
      </c>
      <c r="Q442">
        <f>IF('Perso Reloaded'!$L$35=A442,1,0)</f>
        <v>0</v>
      </c>
      <c r="R442">
        <f>IF('Perso Reloaded'!$L$36=A442,1,0)</f>
        <v>0</v>
      </c>
      <c r="S442">
        <f>IF('Perso Reloaded'!$L$37=A442,1,0)</f>
        <v>0</v>
      </c>
      <c r="T442">
        <f t="shared" si="31"/>
        <v>0</v>
      </c>
      <c r="U442" t="b">
        <f t="shared" si="32"/>
        <v>0</v>
      </c>
    </row>
    <row r="443" spans="1:21" x14ac:dyDescent="0.3">
      <c r="A443" s="65" t="str">
        <f>IF(OR(SexePerso="Féminin",'Perso Reloaded'!$C$6="Féminin"),"Lambine (lente)","Lambin (lent)")</f>
        <v>Lambin (lent)</v>
      </c>
      <c r="B443">
        <f>IF(AtoutsHandicapsMatos!$N$5=A443,1,0)</f>
        <v>0</v>
      </c>
      <c r="C443">
        <f>IF(AtoutsHandicapsMatos!$N$6=A443,1,0)</f>
        <v>0</v>
      </c>
      <c r="D443">
        <f>IF(AtoutsHandicapsMatos!$N$7=A443,1,0)</f>
        <v>0</v>
      </c>
      <c r="E443">
        <f>IF(AtoutsHandicapsMatos!$N$8=A443,1,0)</f>
        <v>0</v>
      </c>
      <c r="F443">
        <f>IF(AtoutsHandicapsMatos!$N$9=A443,1,0)</f>
        <v>0</v>
      </c>
      <c r="G443">
        <f>IF(AtoutsHandicapsMatos!$O$10=A443,1,0)</f>
        <v>0</v>
      </c>
      <c r="H443">
        <f>IF(AtoutsHandicapsMatos!$O$11=A443,1,0)</f>
        <v>0</v>
      </c>
      <c r="I443">
        <f>IF(AtoutsHandicapsMatos!$O$12=A443,1,0)</f>
        <v>0</v>
      </c>
      <c r="J443">
        <f>IF(AtoutsHandicapsMatos!$N$13=A443,1,0)</f>
        <v>0</v>
      </c>
      <c r="K443">
        <f>IF(AtoutsHandicapsMatos!$N$14=A443,1,0)</f>
        <v>0</v>
      </c>
      <c r="L443">
        <f>IF('Perso Reloaded'!$L$30=A443,1,0)</f>
        <v>0</v>
      </c>
      <c r="M443">
        <f>IF('Perso Reloaded'!$L$31=A443,1,0)</f>
        <v>0</v>
      </c>
      <c r="N443">
        <f>IF('Perso Reloaded'!$L$32=A443,1,0)</f>
        <v>0</v>
      </c>
      <c r="O443">
        <f>IF('Perso Reloaded'!$L$33=A443,1,0)</f>
        <v>0</v>
      </c>
      <c r="P443">
        <f>IF('Perso Reloaded'!$L$34=A443,1,0)</f>
        <v>0</v>
      </c>
      <c r="Q443">
        <f>IF('Perso Reloaded'!$L$35=A443,1,0)</f>
        <v>0</v>
      </c>
      <c r="R443">
        <f>IF('Perso Reloaded'!$L$36=A443,1,0)</f>
        <v>0</v>
      </c>
      <c r="S443">
        <f>IF('Perso Reloaded'!$L$37=A443,1,0)</f>
        <v>0</v>
      </c>
      <c r="T443">
        <f t="shared" si="31"/>
        <v>0</v>
      </c>
      <c r="U443" t="b">
        <f t="shared" si="32"/>
        <v>0</v>
      </c>
    </row>
    <row r="444" spans="1:21" x14ac:dyDescent="0.3">
      <c r="A444" s="65" t="str">
        <f>IF(OR(SexePerso="Féminin",'Perso Reloaded'!$C$6="Féminin"),"Lambine (très lente)","Lambin (très lent)")</f>
        <v>Lambin (très lent)</v>
      </c>
      <c r="B444">
        <f>IF(AtoutsHandicapsMatos!$N$5=A444,1,0)</f>
        <v>0</v>
      </c>
      <c r="C444">
        <f>IF(AtoutsHandicapsMatos!$N$6=A444,1,0)</f>
        <v>0</v>
      </c>
      <c r="D444">
        <f>IF(AtoutsHandicapsMatos!$N$7=A444,1,0)</f>
        <v>0</v>
      </c>
      <c r="E444">
        <f>IF(AtoutsHandicapsMatos!$N$8=A444,1,0)</f>
        <v>0</v>
      </c>
      <c r="F444">
        <f>IF(AtoutsHandicapsMatos!$N$9=A444,1,0)</f>
        <v>0</v>
      </c>
      <c r="G444">
        <f>IF(AtoutsHandicapsMatos!$O$10=A444,1,0)</f>
        <v>0</v>
      </c>
      <c r="H444">
        <f>IF(AtoutsHandicapsMatos!$O$11=A444,1,0)</f>
        <v>0</v>
      </c>
      <c r="I444">
        <f>IF(AtoutsHandicapsMatos!$O$12=A444,1,0)</f>
        <v>0</v>
      </c>
      <c r="J444">
        <f>IF(AtoutsHandicapsMatos!$N$13=A444,1,0)</f>
        <v>0</v>
      </c>
      <c r="K444">
        <f>IF(AtoutsHandicapsMatos!$N$14=A444,1,0)</f>
        <v>0</v>
      </c>
      <c r="L444">
        <f>IF('Perso Reloaded'!$L$30=A444,1,0)</f>
        <v>0</v>
      </c>
      <c r="M444">
        <f>IF('Perso Reloaded'!$L$31=A444,1,0)</f>
        <v>0</v>
      </c>
      <c r="N444">
        <f>IF('Perso Reloaded'!$L$32=A444,1,0)</f>
        <v>0</v>
      </c>
      <c r="O444">
        <f>IF('Perso Reloaded'!$L$33=A444,1,0)</f>
        <v>0</v>
      </c>
      <c r="P444">
        <f>IF('Perso Reloaded'!$L$34=A444,1,0)</f>
        <v>0</v>
      </c>
      <c r="Q444">
        <f>IF('Perso Reloaded'!$L$35=A444,1,0)</f>
        <v>0</v>
      </c>
      <c r="R444">
        <f>IF('Perso Reloaded'!$L$36=A444,1,0)</f>
        <v>0</v>
      </c>
      <c r="S444">
        <f>IF('Perso Reloaded'!$L$37=A444,1,0)</f>
        <v>0</v>
      </c>
      <c r="T444">
        <f t="shared" si="31"/>
        <v>0</v>
      </c>
      <c r="U444" t="b">
        <f t="shared" si="32"/>
        <v>0</v>
      </c>
    </row>
    <row r="445" spans="1:21" x14ac:dyDescent="0.3">
      <c r="A445" s="65" t="str">
        <f>IF(OR(SexePerso="Féminin",'Perso Reloaded'!$C$6="Féminin"),"Lambine (vraiment très lente)","Lambin (vraiment très lent)")</f>
        <v>Lambin (vraiment très lent)</v>
      </c>
      <c r="B445">
        <f>IF(AtoutsHandicapsMatos!$N$5=A445,1,0)</f>
        <v>0</v>
      </c>
      <c r="C445">
        <f>IF(AtoutsHandicapsMatos!$N$6=A445,1,0)</f>
        <v>0</v>
      </c>
      <c r="D445">
        <f>IF(AtoutsHandicapsMatos!$N$7=A445,1,0)</f>
        <v>0</v>
      </c>
      <c r="E445">
        <f>IF(AtoutsHandicapsMatos!$N$8=A445,1,0)</f>
        <v>0</v>
      </c>
      <c r="F445">
        <f>IF(AtoutsHandicapsMatos!$N$9=A445,1,0)</f>
        <v>0</v>
      </c>
      <c r="G445">
        <f>IF(AtoutsHandicapsMatos!$O$10=A445,1,0)</f>
        <v>0</v>
      </c>
      <c r="H445">
        <f>IF(AtoutsHandicapsMatos!$O$11=A445,1,0)</f>
        <v>0</v>
      </c>
      <c r="I445">
        <f>IF(AtoutsHandicapsMatos!$O$12=A445,1,0)</f>
        <v>0</v>
      </c>
      <c r="J445">
        <f>IF(AtoutsHandicapsMatos!$N$13=A445,1,0)</f>
        <v>0</v>
      </c>
      <c r="K445">
        <f>IF(AtoutsHandicapsMatos!$N$14=A445,1,0)</f>
        <v>0</v>
      </c>
      <c r="L445">
        <f>IF('Perso Reloaded'!$L$30=A445,1,0)</f>
        <v>0</v>
      </c>
      <c r="M445">
        <f>IF('Perso Reloaded'!$L$31=A445,1,0)</f>
        <v>0</v>
      </c>
      <c r="N445">
        <f>IF('Perso Reloaded'!$L$32=A445,1,0)</f>
        <v>0</v>
      </c>
      <c r="O445">
        <f>IF('Perso Reloaded'!$L$33=A445,1,0)</f>
        <v>0</v>
      </c>
      <c r="P445">
        <f>IF('Perso Reloaded'!$L$34=A445,1,0)</f>
        <v>0</v>
      </c>
      <c r="Q445">
        <f>IF('Perso Reloaded'!$L$35=A445,1,0)</f>
        <v>0</v>
      </c>
      <c r="R445">
        <f>IF('Perso Reloaded'!$L$36=A445,1,0)</f>
        <v>0</v>
      </c>
      <c r="S445">
        <f>IF('Perso Reloaded'!$L$37=A445,1,0)</f>
        <v>0</v>
      </c>
      <c r="T445">
        <f t="shared" si="31"/>
        <v>0</v>
      </c>
      <c r="U445" t="b">
        <f t="shared" si="32"/>
        <v>0</v>
      </c>
    </row>
    <row r="446" spans="1:21" x14ac:dyDescent="0.3">
      <c r="A446" s="65" t="str">
        <f>IF(OR(SexePerso="Féminin",'Perso Reloaded'!$C$6="Féminin"),"Lambine (handicapée moteur)","Lambin (handicapé moteur)")</f>
        <v>Lambin (handicapé moteur)</v>
      </c>
      <c r="B446">
        <f>IF(AtoutsHandicapsMatos!$N$5=A446,1,0)</f>
        <v>0</v>
      </c>
      <c r="C446">
        <f>IF(AtoutsHandicapsMatos!$N$6=A446,1,0)</f>
        <v>0</v>
      </c>
      <c r="D446">
        <f>IF(AtoutsHandicapsMatos!$N$7=A446,1,0)</f>
        <v>0</v>
      </c>
      <c r="E446">
        <f>IF(AtoutsHandicapsMatos!$N$8=A446,1,0)</f>
        <v>0</v>
      </c>
      <c r="F446">
        <f>IF(AtoutsHandicapsMatos!$N$9=A446,1,0)</f>
        <v>0</v>
      </c>
      <c r="G446">
        <f>IF(AtoutsHandicapsMatos!$O$10=A446,1,0)</f>
        <v>0</v>
      </c>
      <c r="H446">
        <f>IF(AtoutsHandicapsMatos!$O$11=A446,1,0)</f>
        <v>0</v>
      </c>
      <c r="I446">
        <f>IF(AtoutsHandicapsMatos!$O$12=A446,1,0)</f>
        <v>0</v>
      </c>
      <c r="J446">
        <f>IF(AtoutsHandicapsMatos!$N$13=A446,1,0)</f>
        <v>0</v>
      </c>
      <c r="K446">
        <f>IF(AtoutsHandicapsMatos!$N$14=A446,1,0)</f>
        <v>0</v>
      </c>
      <c r="L446">
        <f>IF('Perso Reloaded'!$L$30=A446,1,0)</f>
        <v>0</v>
      </c>
      <c r="M446">
        <f>IF('Perso Reloaded'!$L$31=A446,1,0)</f>
        <v>0</v>
      </c>
      <c r="N446">
        <f>IF('Perso Reloaded'!$L$32=A446,1,0)</f>
        <v>0</v>
      </c>
      <c r="O446">
        <f>IF('Perso Reloaded'!$L$33=A446,1,0)</f>
        <v>0</v>
      </c>
      <c r="P446">
        <f>IF('Perso Reloaded'!$L$34=A446,1,0)</f>
        <v>0</v>
      </c>
      <c r="Q446">
        <f>IF('Perso Reloaded'!$L$35=A446,1,0)</f>
        <v>0</v>
      </c>
      <c r="R446">
        <f>IF('Perso Reloaded'!$L$36=A446,1,0)</f>
        <v>0</v>
      </c>
      <c r="S446">
        <f>IF('Perso Reloaded'!$L$37=A446,1,0)</f>
        <v>0</v>
      </c>
      <c r="T446">
        <f t="shared" si="31"/>
        <v>0</v>
      </c>
      <c r="U446" t="b">
        <f t="shared" si="32"/>
        <v>0</v>
      </c>
    </row>
    <row r="447" spans="1:21" x14ac:dyDescent="0.3">
      <c r="A447" s="65" t="str">
        <f>IF(OR(SexePerso="Féminin",'Perso Reloaded'!$C$6="Féminin"),"Lambine (handicapée moteur grave)","Lambin (handicapé moteur grave)")</f>
        <v>Lambin (handicapé moteur grave)</v>
      </c>
      <c r="B447">
        <f>IF(AtoutsHandicapsMatos!$N$5=A447,1,0)</f>
        <v>0</v>
      </c>
      <c r="C447">
        <f>IF(AtoutsHandicapsMatos!$N$6=A447,1,0)</f>
        <v>0</v>
      </c>
      <c r="D447">
        <f>IF(AtoutsHandicapsMatos!$N$7=A447,1,0)</f>
        <v>0</v>
      </c>
      <c r="E447">
        <f>IF(AtoutsHandicapsMatos!$N$8=A447,1,0)</f>
        <v>0</v>
      </c>
      <c r="F447">
        <f>IF(AtoutsHandicapsMatos!$N$9=A447,1,0)</f>
        <v>0</v>
      </c>
      <c r="G447">
        <f>IF(AtoutsHandicapsMatos!$O$10=A447,1,0)</f>
        <v>0</v>
      </c>
      <c r="H447">
        <f>IF(AtoutsHandicapsMatos!$O$11=A447,1,0)</f>
        <v>0</v>
      </c>
      <c r="I447">
        <f>IF(AtoutsHandicapsMatos!$O$12=A447,1,0)</f>
        <v>0</v>
      </c>
      <c r="J447">
        <f>IF(AtoutsHandicapsMatos!$N$13=A447,1,0)</f>
        <v>0</v>
      </c>
      <c r="K447">
        <f>IF(AtoutsHandicapsMatos!$N$14=A447,1,0)</f>
        <v>0</v>
      </c>
      <c r="L447">
        <f>IF('Perso Reloaded'!$L$30=A447,1,0)</f>
        <v>0</v>
      </c>
      <c r="M447">
        <f>IF('Perso Reloaded'!$L$31=A447,1,0)</f>
        <v>0</v>
      </c>
      <c r="N447">
        <f>IF('Perso Reloaded'!$L$32=A447,1,0)</f>
        <v>0</v>
      </c>
      <c r="O447">
        <f>IF('Perso Reloaded'!$L$33=A447,1,0)</f>
        <v>0</v>
      </c>
      <c r="P447">
        <f>IF('Perso Reloaded'!$L$34=A447,1,0)</f>
        <v>0</v>
      </c>
      <c r="Q447">
        <f>IF('Perso Reloaded'!$L$35=A447,1,0)</f>
        <v>0</v>
      </c>
      <c r="R447">
        <f>IF('Perso Reloaded'!$L$36=A447,1,0)</f>
        <v>0</v>
      </c>
      <c r="S447">
        <f>IF('Perso Reloaded'!$L$37=A447,1,0)</f>
        <v>0</v>
      </c>
      <c r="T447">
        <f t="shared" si="31"/>
        <v>0</v>
      </c>
      <c r="U447" t="b">
        <f t="shared" si="32"/>
        <v>0</v>
      </c>
    </row>
    <row r="448" spans="1:21" x14ac:dyDescent="0.3">
      <c r="A448" s="65" t="str">
        <f>IF(OR(SexePerso="Féminin",'Perso Reloaded'!$C$6="Féminin"),"Larbine de la Faucheuse/ Sinistre Servante de la Mort","Larbin de la Faucheuse/ Sinistre Serviteur de la Mort")</f>
        <v>Larbin de la Faucheuse/ Sinistre Serviteur de la Mort</v>
      </c>
      <c r="B448">
        <f>IF(AtoutsHandicapsMatos!$N$5=A448,1,0)</f>
        <v>0</v>
      </c>
      <c r="C448">
        <f>IF(AtoutsHandicapsMatos!$N$6=A448,1,0)</f>
        <v>0</v>
      </c>
      <c r="D448">
        <f>IF(AtoutsHandicapsMatos!$N$7=A448,1,0)</f>
        <v>0</v>
      </c>
      <c r="E448">
        <f>IF(AtoutsHandicapsMatos!$N$8=A448,1,0)</f>
        <v>0</v>
      </c>
      <c r="F448">
        <f>IF(AtoutsHandicapsMatos!$N$9=A448,1,0)</f>
        <v>0</v>
      </c>
      <c r="G448">
        <f>IF(AtoutsHandicapsMatos!$O$10=A448,1,0)</f>
        <v>0</v>
      </c>
      <c r="H448">
        <f>IF(AtoutsHandicapsMatos!$O$11=A448,1,0)</f>
        <v>0</v>
      </c>
      <c r="I448">
        <f>IF(AtoutsHandicapsMatos!$O$12=A448,1,0)</f>
        <v>0</v>
      </c>
      <c r="J448">
        <f>IF(AtoutsHandicapsMatos!$N$13=A448,1,0)</f>
        <v>0</v>
      </c>
      <c r="K448">
        <f>IF(AtoutsHandicapsMatos!$N$14=A448,1,0)</f>
        <v>0</v>
      </c>
      <c r="L448">
        <f>IF('Perso Reloaded'!$L$30=A448,1,0)</f>
        <v>0</v>
      </c>
      <c r="M448">
        <f>IF('Perso Reloaded'!$L$31=A448,1,0)</f>
        <v>0</v>
      </c>
      <c r="N448">
        <f>IF('Perso Reloaded'!$L$32=A448,1,0)</f>
        <v>0</v>
      </c>
      <c r="O448">
        <f>IF('Perso Reloaded'!$L$33=A448,1,0)</f>
        <v>0</v>
      </c>
      <c r="P448">
        <f>IF('Perso Reloaded'!$L$34=A448,1,0)</f>
        <v>0</v>
      </c>
      <c r="Q448">
        <f>IF('Perso Reloaded'!$L$35=A448,1,0)</f>
        <v>0</v>
      </c>
      <c r="R448">
        <f>IF('Perso Reloaded'!$L$36=A448,1,0)</f>
        <v>0</v>
      </c>
      <c r="S448">
        <f>IF('Perso Reloaded'!$L$37=A448,1,0)</f>
        <v>0</v>
      </c>
      <c r="T448">
        <f t="shared" si="31"/>
        <v>0</v>
      </c>
      <c r="U448" t="b">
        <f t="shared" si="32"/>
        <v>0</v>
      </c>
    </row>
    <row r="449" spans="1:21" x14ac:dyDescent="0.3">
      <c r="A449" s="65" t="str">
        <f>IF(OR(SexePerso="Féminin",'Perso Reloaded'!$C$6="Féminin"),"Loyale","Loyal")</f>
        <v>Loyal</v>
      </c>
      <c r="B449">
        <f>IF(AtoutsHandicapsMatos!$N$5=A449,1,0)</f>
        <v>0</v>
      </c>
      <c r="C449">
        <f>IF(AtoutsHandicapsMatos!$N$6=A449,1,0)</f>
        <v>0</v>
      </c>
      <c r="D449">
        <f>IF(AtoutsHandicapsMatos!$N$7=A449,1,0)</f>
        <v>0</v>
      </c>
      <c r="E449">
        <f>IF(AtoutsHandicapsMatos!$N$8=A449,1,0)</f>
        <v>0</v>
      </c>
      <c r="F449">
        <f>IF(AtoutsHandicapsMatos!$N$9=A449,1,0)</f>
        <v>0</v>
      </c>
      <c r="G449">
        <f>IF(AtoutsHandicapsMatos!$O$10=A449,1,0)</f>
        <v>0</v>
      </c>
      <c r="H449">
        <f>IF(AtoutsHandicapsMatos!$O$11=A449,1,0)</f>
        <v>0</v>
      </c>
      <c r="I449">
        <f>IF(AtoutsHandicapsMatos!$O$12=A449,1,0)</f>
        <v>0</v>
      </c>
      <c r="J449">
        <f>IF(AtoutsHandicapsMatos!$N$13=A449,1,0)</f>
        <v>0</v>
      </c>
      <c r="K449">
        <f>IF(AtoutsHandicapsMatos!$N$14=A449,1,0)</f>
        <v>0</v>
      </c>
      <c r="L449">
        <f>IF('Perso Reloaded'!$L$30=A449,1,0)</f>
        <v>0</v>
      </c>
      <c r="M449">
        <f>IF('Perso Reloaded'!$L$31=A449,1,0)</f>
        <v>0</v>
      </c>
      <c r="N449">
        <f>IF('Perso Reloaded'!$L$32=A449,1,0)</f>
        <v>0</v>
      </c>
      <c r="O449">
        <f>IF('Perso Reloaded'!$L$33=A449,1,0)</f>
        <v>0</v>
      </c>
      <c r="P449">
        <f>IF('Perso Reloaded'!$L$34=A449,1,0)</f>
        <v>0</v>
      </c>
      <c r="Q449">
        <f>IF('Perso Reloaded'!$L$35=A449,1,0)</f>
        <v>0</v>
      </c>
      <c r="R449">
        <f>IF('Perso Reloaded'!$L$36=A449,1,0)</f>
        <v>0</v>
      </c>
      <c r="S449">
        <f>IF('Perso Reloaded'!$L$37=A449,1,0)</f>
        <v>0</v>
      </c>
      <c r="T449">
        <f t="shared" si="31"/>
        <v>0</v>
      </c>
      <c r="U449" t="b">
        <f t="shared" si="32"/>
        <v>0</v>
      </c>
    </row>
    <row r="450" spans="1:21" x14ac:dyDescent="0.3">
      <c r="A450" s="65" t="str">
        <f>IF(OR('Perso Classic'!$C$6="Féminin",SexePerso="Féminin"),"Misandre","Macho")</f>
        <v>Macho</v>
      </c>
      <c r="B450">
        <f>IF(AtoutsHandicapsMatos!$N$5=A450,1,0)</f>
        <v>0</v>
      </c>
      <c r="C450">
        <f>IF(AtoutsHandicapsMatos!$N$6=A450,1,0)</f>
        <v>0</v>
      </c>
      <c r="D450">
        <f>IF(AtoutsHandicapsMatos!$N$7=A450,1,0)</f>
        <v>0</v>
      </c>
      <c r="E450">
        <f>IF(AtoutsHandicapsMatos!$N$8=A450,1,0)</f>
        <v>0</v>
      </c>
      <c r="F450">
        <f>IF(AtoutsHandicapsMatos!$N$9=A450,1,0)</f>
        <v>0</v>
      </c>
      <c r="G450">
        <f>IF(AtoutsHandicapsMatos!$O$10=A450,1,0)</f>
        <v>0</v>
      </c>
      <c r="H450">
        <f>IF(AtoutsHandicapsMatos!$O$11=A450,1,0)</f>
        <v>0</v>
      </c>
      <c r="I450">
        <f>IF(AtoutsHandicapsMatos!$O$12=A450,1,0)</f>
        <v>0</v>
      </c>
      <c r="J450">
        <f>IF(AtoutsHandicapsMatos!$N$13=A450,1,0)</f>
        <v>0</v>
      </c>
      <c r="K450">
        <f>IF(AtoutsHandicapsMatos!$N$14=A450,1,0)</f>
        <v>0</v>
      </c>
      <c r="L450">
        <f>IF('Perso Reloaded'!$L$30=A450,1,0)</f>
        <v>0</v>
      </c>
      <c r="M450">
        <f>IF('Perso Reloaded'!$L$31=A450,1,0)</f>
        <v>0</v>
      </c>
      <c r="N450">
        <f>IF('Perso Reloaded'!$L$32=A450,1,0)</f>
        <v>0</v>
      </c>
      <c r="O450">
        <f>IF('Perso Reloaded'!$L$33=A450,1,0)</f>
        <v>0</v>
      </c>
      <c r="P450">
        <f>IF('Perso Reloaded'!$L$34=A450,1,0)</f>
        <v>0</v>
      </c>
      <c r="Q450">
        <f>IF('Perso Reloaded'!$L$35=A450,1,0)</f>
        <v>0</v>
      </c>
      <c r="R450">
        <f>IF('Perso Reloaded'!$L$36=A450,1,0)</f>
        <v>0</v>
      </c>
      <c r="S450">
        <f>IF('Perso Reloaded'!$L$37=A450,1,0)</f>
        <v>0</v>
      </c>
      <c r="T450">
        <f t="shared" si="31"/>
        <v>0</v>
      </c>
      <c r="U450" t="b">
        <f t="shared" si="32"/>
        <v>0</v>
      </c>
    </row>
    <row r="451" spans="1:21" x14ac:dyDescent="0.3">
      <c r="A451" s="65" t="str">
        <f>IF(OR('Perso Classic'!$C$6="Féminin",SexePerso="Féminin"),"Malade/Souffrante (légère)","Malade/Souffrant (léger)")</f>
        <v>Malade/Souffrant (léger)</v>
      </c>
      <c r="B451">
        <f>IF(AtoutsHandicapsMatos!$N$5=A451,1,0)</f>
        <v>0</v>
      </c>
      <c r="C451">
        <f>IF(AtoutsHandicapsMatos!$N$6=A451,1,0)</f>
        <v>0</v>
      </c>
      <c r="D451">
        <f>IF(AtoutsHandicapsMatos!$N$7=A451,1,0)</f>
        <v>0</v>
      </c>
      <c r="E451">
        <f>IF(AtoutsHandicapsMatos!$N$8=A451,1,0)</f>
        <v>0</v>
      </c>
      <c r="F451">
        <f>IF(AtoutsHandicapsMatos!$N$9=A451,1,0)</f>
        <v>0</v>
      </c>
      <c r="G451">
        <f>IF(AtoutsHandicapsMatos!$O$10=A451,1,0)</f>
        <v>0</v>
      </c>
      <c r="H451">
        <f>IF(AtoutsHandicapsMatos!$O$11=A451,1,0)</f>
        <v>0</v>
      </c>
      <c r="I451">
        <f>IF(AtoutsHandicapsMatos!$O$12=A451,1,0)</f>
        <v>0</v>
      </c>
      <c r="J451">
        <f>IF(AtoutsHandicapsMatos!$N$13=A451,1,0)</f>
        <v>0</v>
      </c>
      <c r="K451">
        <f>IF(AtoutsHandicapsMatos!$N$14=A451,1,0)</f>
        <v>0</v>
      </c>
      <c r="L451">
        <f>IF('Perso Reloaded'!$L$30=A451,1,0)</f>
        <v>0</v>
      </c>
      <c r="M451">
        <f>IF('Perso Reloaded'!$L$31=A451,1,0)</f>
        <v>0</v>
      </c>
      <c r="N451">
        <f>IF('Perso Reloaded'!$L$32=A451,1,0)</f>
        <v>0</v>
      </c>
      <c r="O451">
        <f>IF('Perso Reloaded'!$L$33=A451,1,0)</f>
        <v>0</v>
      </c>
      <c r="P451">
        <f>IF('Perso Reloaded'!$L$34=A451,1,0)</f>
        <v>0</v>
      </c>
      <c r="Q451">
        <f>IF('Perso Reloaded'!$L$35=A451,1,0)</f>
        <v>0</v>
      </c>
      <c r="R451">
        <f>IF('Perso Reloaded'!$L$36=A451,1,0)</f>
        <v>0</v>
      </c>
      <c r="S451">
        <f>IF('Perso Reloaded'!$L$37=A451,1,0)</f>
        <v>0</v>
      </c>
      <c r="T451">
        <f t="shared" si="31"/>
        <v>0</v>
      </c>
      <c r="U451" t="b">
        <f t="shared" si="32"/>
        <v>0</v>
      </c>
    </row>
    <row r="452" spans="1:21" x14ac:dyDescent="0.3">
      <c r="A452" s="65" t="str">
        <f>IF(OR('Perso Classic'!$C$6="Féminin",SexePerso="Féminin"),"Malade/Souffrante (majeure/chronique)","Malade/Souffrant (majeur/chronique)")</f>
        <v>Malade/Souffrant (majeur/chronique)</v>
      </c>
      <c r="B452">
        <f>IF(AtoutsHandicapsMatos!$N$5=A452,1,0)</f>
        <v>0</v>
      </c>
      <c r="C452">
        <f>IF(AtoutsHandicapsMatos!$N$6=A452,1,0)</f>
        <v>0</v>
      </c>
      <c r="D452">
        <f>IF(AtoutsHandicapsMatos!$N$7=A452,1,0)</f>
        <v>0</v>
      </c>
      <c r="E452">
        <f>IF(AtoutsHandicapsMatos!$N$8=A452,1,0)</f>
        <v>0</v>
      </c>
      <c r="F452">
        <f>IF(AtoutsHandicapsMatos!$N$9=A452,1,0)</f>
        <v>0</v>
      </c>
      <c r="G452">
        <f>IF(AtoutsHandicapsMatos!$O$10=A452,1,0)</f>
        <v>0</v>
      </c>
      <c r="H452">
        <f>IF(AtoutsHandicapsMatos!$O$11=A452,1,0)</f>
        <v>0</v>
      </c>
      <c r="I452">
        <f>IF(AtoutsHandicapsMatos!$O$12=A452,1,0)</f>
        <v>0</v>
      </c>
      <c r="J452">
        <f>IF(AtoutsHandicapsMatos!$N$13=A452,1,0)</f>
        <v>0</v>
      </c>
      <c r="K452">
        <f>IF(AtoutsHandicapsMatos!$N$14=A452,1,0)</f>
        <v>0</v>
      </c>
      <c r="L452">
        <f>IF('Perso Reloaded'!$L$30=A452,1,0)</f>
        <v>0</v>
      </c>
      <c r="M452">
        <f>IF('Perso Reloaded'!$L$31=A452,1,0)</f>
        <v>0</v>
      </c>
      <c r="N452">
        <f>IF('Perso Reloaded'!$L$32=A452,1,0)</f>
        <v>0</v>
      </c>
      <c r="O452">
        <f>IF('Perso Reloaded'!$L$33=A452,1,0)</f>
        <v>0</v>
      </c>
      <c r="P452">
        <f>IF('Perso Reloaded'!$L$34=A452,1,0)</f>
        <v>0</v>
      </c>
      <c r="Q452">
        <f>IF('Perso Reloaded'!$L$35=A452,1,0)</f>
        <v>0</v>
      </c>
      <c r="R452">
        <f>IF('Perso Reloaded'!$L$36=A452,1,0)</f>
        <v>0</v>
      </c>
      <c r="S452">
        <f>IF('Perso Reloaded'!$L$37=A452,1,0)</f>
        <v>0</v>
      </c>
      <c r="T452">
        <f t="shared" si="31"/>
        <v>0</v>
      </c>
      <c r="U452" t="b">
        <f t="shared" si="32"/>
        <v>0</v>
      </c>
    </row>
    <row r="453" spans="1:21" x14ac:dyDescent="0.3">
      <c r="A453" s="65" t="str">
        <f>IF(OR('Perso Classic'!$C$6="Féminin",SexePerso="Féminin"),"Malade/Souffrante (mortelle)","Malade/Souffrant (mortel)")</f>
        <v>Malade/Souffrant (mortel)</v>
      </c>
      <c r="B453">
        <f>IF(AtoutsHandicapsMatos!$N$5=A453,1,0)</f>
        <v>0</v>
      </c>
      <c r="C453">
        <f>IF(AtoutsHandicapsMatos!$N$6=A453,1,0)</f>
        <v>0</v>
      </c>
      <c r="D453">
        <f>IF(AtoutsHandicapsMatos!$N$7=A453,1,0)</f>
        <v>0</v>
      </c>
      <c r="E453">
        <f>IF(AtoutsHandicapsMatos!$N$8=A453,1,0)</f>
        <v>0</v>
      </c>
      <c r="F453">
        <f>IF(AtoutsHandicapsMatos!$N$9=A453,1,0)</f>
        <v>0</v>
      </c>
      <c r="G453">
        <f>IF(AtoutsHandicapsMatos!$O$10=A453,1,0)</f>
        <v>0</v>
      </c>
      <c r="H453">
        <f>IF(AtoutsHandicapsMatos!$O$11=A453,1,0)</f>
        <v>0</v>
      </c>
      <c r="I453">
        <f>IF(AtoutsHandicapsMatos!$O$12=A453,1,0)</f>
        <v>0</v>
      </c>
      <c r="J453">
        <f>IF(AtoutsHandicapsMatos!$N$13=A453,1,0)</f>
        <v>0</v>
      </c>
      <c r="K453">
        <f>IF(AtoutsHandicapsMatos!$N$14=A453,1,0)</f>
        <v>0</v>
      </c>
      <c r="L453">
        <f>IF('Perso Reloaded'!$L$30=A453,1,0)</f>
        <v>0</v>
      </c>
      <c r="M453">
        <f>IF('Perso Reloaded'!$L$31=A453,1,0)</f>
        <v>0</v>
      </c>
      <c r="N453">
        <f>IF('Perso Reloaded'!$L$32=A453,1,0)</f>
        <v>0</v>
      </c>
      <c r="O453">
        <f>IF('Perso Reloaded'!$L$33=A453,1,0)</f>
        <v>0</v>
      </c>
      <c r="P453">
        <f>IF('Perso Reloaded'!$L$34=A453,1,0)</f>
        <v>0</v>
      </c>
      <c r="Q453">
        <f>IF('Perso Reloaded'!$L$35=A453,1,0)</f>
        <v>0</v>
      </c>
      <c r="R453">
        <f>IF('Perso Reloaded'!$L$36=A453,1,0)</f>
        <v>0</v>
      </c>
      <c r="S453">
        <f>IF('Perso Reloaded'!$L$37=A453,1,0)</f>
        <v>0</v>
      </c>
      <c r="T453">
        <f t="shared" si="31"/>
        <v>0</v>
      </c>
      <c r="U453" t="b">
        <f t="shared" si="32"/>
        <v>0</v>
      </c>
    </row>
    <row r="454" spans="1:21" x14ac:dyDescent="0.3">
      <c r="A454" s="65" t="str">
        <f>IF(OR('Perso Classic'!$C$6="Féminin",SexePerso="Féminin"),"Manchote","Manchot")</f>
        <v>Manchot</v>
      </c>
      <c r="B454">
        <f>IF(AtoutsHandicapsMatos!$N$5=A454,1,0)</f>
        <v>0</v>
      </c>
      <c r="C454">
        <f>IF(AtoutsHandicapsMatos!$N$6=A454,1,0)</f>
        <v>0</v>
      </c>
      <c r="D454">
        <f>IF(AtoutsHandicapsMatos!$N$7=A454,1,0)</f>
        <v>0</v>
      </c>
      <c r="E454">
        <f>IF(AtoutsHandicapsMatos!$N$8=A454,1,0)</f>
        <v>0</v>
      </c>
      <c r="F454">
        <f>IF(AtoutsHandicapsMatos!$N$9=A454,1,0)</f>
        <v>0</v>
      </c>
      <c r="G454">
        <f>IF(AtoutsHandicapsMatos!$O$10=A454,1,0)</f>
        <v>0</v>
      </c>
      <c r="H454">
        <f>IF(AtoutsHandicapsMatos!$O$11=A454,1,0)</f>
        <v>0</v>
      </c>
      <c r="I454">
        <f>IF(AtoutsHandicapsMatos!$O$12=A454,1,0)</f>
        <v>0</v>
      </c>
      <c r="J454">
        <f>IF(AtoutsHandicapsMatos!$N$13=A454,1,0)</f>
        <v>0</v>
      </c>
      <c r="K454">
        <f>IF(AtoutsHandicapsMatos!$N$14=A454,1,0)</f>
        <v>0</v>
      </c>
      <c r="L454">
        <f>IF('Perso Reloaded'!$L$30=A454,1,0)</f>
        <v>0</v>
      </c>
      <c r="M454">
        <f>IF('Perso Reloaded'!$L$31=A454,1,0)</f>
        <v>0</v>
      </c>
      <c r="N454">
        <f>IF('Perso Reloaded'!$L$32=A454,1,0)</f>
        <v>0</v>
      </c>
      <c r="O454">
        <f>IF('Perso Reloaded'!$L$33=A454,1,0)</f>
        <v>0</v>
      </c>
      <c r="P454">
        <f>IF('Perso Reloaded'!$L$34=A454,1,0)</f>
        <v>0</v>
      </c>
      <c r="Q454">
        <f>IF('Perso Reloaded'!$L$35=A454,1,0)</f>
        <v>0</v>
      </c>
      <c r="R454">
        <f>IF('Perso Reloaded'!$L$36=A454,1,0)</f>
        <v>0</v>
      </c>
      <c r="S454">
        <f>IF('Perso Reloaded'!$L$37=A454,1,0)</f>
        <v>0</v>
      </c>
      <c r="T454">
        <f t="shared" si="31"/>
        <v>0</v>
      </c>
      <c r="U454" t="b">
        <f t="shared" si="32"/>
        <v>0</v>
      </c>
    </row>
    <row r="455" spans="1:21" x14ac:dyDescent="0.3">
      <c r="A455" s="65" t="s">
        <v>3079</v>
      </c>
      <c r="B455">
        <f>IF(AtoutsHandicapsMatos!$N$5=A455,1,0)</f>
        <v>0</v>
      </c>
      <c r="C455">
        <f>IF(AtoutsHandicapsMatos!$N$6=A455,1,0)</f>
        <v>0</v>
      </c>
      <c r="D455">
        <f>IF(AtoutsHandicapsMatos!$N$7=A455,1,0)</f>
        <v>0</v>
      </c>
      <c r="E455">
        <f>IF(AtoutsHandicapsMatos!$N$8=A455,1,0)</f>
        <v>0</v>
      </c>
      <c r="F455">
        <f>IF(AtoutsHandicapsMatos!$N$9=A455,1,0)</f>
        <v>0</v>
      </c>
      <c r="G455">
        <f>IF(AtoutsHandicapsMatos!$O$10=A455,1,0)</f>
        <v>0</v>
      </c>
      <c r="H455">
        <f>IF(AtoutsHandicapsMatos!$O$11=A455,1,0)</f>
        <v>0</v>
      </c>
      <c r="I455">
        <f>IF(AtoutsHandicapsMatos!$O$12=A455,1,0)</f>
        <v>0</v>
      </c>
      <c r="J455">
        <f>IF(AtoutsHandicapsMatos!$N$13=A455,1,0)</f>
        <v>0</v>
      </c>
      <c r="K455">
        <f>IF(AtoutsHandicapsMatos!$N$14=A455,1,0)</f>
        <v>0</v>
      </c>
      <c r="L455">
        <f>IF('Perso Reloaded'!$L$30=A455,1,0)</f>
        <v>0</v>
      </c>
      <c r="M455">
        <f>IF('Perso Reloaded'!$L$31=A455,1,0)</f>
        <v>0</v>
      </c>
      <c r="N455">
        <f>IF('Perso Reloaded'!$L$32=A455,1,0)</f>
        <v>0</v>
      </c>
      <c r="O455">
        <f>IF('Perso Reloaded'!$L$33=A455,1,0)</f>
        <v>0</v>
      </c>
      <c r="P455">
        <f>IF('Perso Reloaded'!$L$34=A455,1,0)</f>
        <v>0</v>
      </c>
      <c r="Q455">
        <f>IF('Perso Reloaded'!$L$35=A455,1,0)</f>
        <v>0</v>
      </c>
      <c r="R455">
        <f>IF('Perso Reloaded'!$L$36=A455,1,0)</f>
        <v>0</v>
      </c>
      <c r="S455">
        <f>IF('Perso Reloaded'!$L$37=A455,1,0)</f>
        <v>0</v>
      </c>
      <c r="T455">
        <f t="shared" si="31"/>
        <v>0</v>
      </c>
      <c r="U455" t="b">
        <f t="shared" si="32"/>
        <v>0</v>
      </c>
    </row>
    <row r="456" spans="1:21" x14ac:dyDescent="0.3">
      <c r="A456" s="65" t="s">
        <v>3080</v>
      </c>
      <c r="B456">
        <f>IF(AtoutsHandicapsMatos!$N$5=A456,1,0)</f>
        <v>0</v>
      </c>
      <c r="C456">
        <f>IF(AtoutsHandicapsMatos!$N$6=A456,1,0)</f>
        <v>0</v>
      </c>
      <c r="D456">
        <f>IF(AtoutsHandicapsMatos!$N$7=A456,1,0)</f>
        <v>0</v>
      </c>
      <c r="E456">
        <f>IF(AtoutsHandicapsMatos!$N$8=A456,1,0)</f>
        <v>0</v>
      </c>
      <c r="F456">
        <f>IF(AtoutsHandicapsMatos!$N$9=A456,1,0)</f>
        <v>0</v>
      </c>
      <c r="G456">
        <f>IF(AtoutsHandicapsMatos!$O$10=A456,1,0)</f>
        <v>0</v>
      </c>
      <c r="H456">
        <f>IF(AtoutsHandicapsMatos!$O$11=A456,1,0)</f>
        <v>0</v>
      </c>
      <c r="I456">
        <f>IF(AtoutsHandicapsMatos!$O$12=A456,1,0)</f>
        <v>0</v>
      </c>
      <c r="J456">
        <f>IF(AtoutsHandicapsMatos!$N$13=A456,1,0)</f>
        <v>0</v>
      </c>
      <c r="K456">
        <f>IF(AtoutsHandicapsMatos!$N$14=A456,1,0)</f>
        <v>0</v>
      </c>
      <c r="L456">
        <f>IF('Perso Reloaded'!$L$30=A456,1,0)</f>
        <v>0</v>
      </c>
      <c r="M456">
        <f>IF('Perso Reloaded'!$L$31=A456,1,0)</f>
        <v>0</v>
      </c>
      <c r="N456">
        <f>IF('Perso Reloaded'!$L$32=A456,1,0)</f>
        <v>0</v>
      </c>
      <c r="O456">
        <f>IF('Perso Reloaded'!$L$33=A456,1,0)</f>
        <v>0</v>
      </c>
      <c r="P456">
        <f>IF('Perso Reloaded'!$L$34=A456,1,0)</f>
        <v>0</v>
      </c>
      <c r="Q456">
        <f>IF('Perso Reloaded'!$L$35=A456,1,0)</f>
        <v>0</v>
      </c>
      <c r="R456">
        <f>IF('Perso Reloaded'!$L$36=A456,1,0)</f>
        <v>0</v>
      </c>
      <c r="S456">
        <f>IF('Perso Reloaded'!$L$37=A456,1,0)</f>
        <v>0</v>
      </c>
      <c r="T456">
        <f t="shared" si="31"/>
        <v>0</v>
      </c>
      <c r="U456" t="b">
        <f t="shared" si="32"/>
        <v>0</v>
      </c>
    </row>
    <row r="457" spans="1:21" x14ac:dyDescent="0.3">
      <c r="A457" s="65" t="s">
        <v>3081</v>
      </c>
      <c r="B457">
        <f>IF(AtoutsHandicapsMatos!$N$5=A457,1,0)</f>
        <v>0</v>
      </c>
      <c r="C457">
        <f>IF(AtoutsHandicapsMatos!$N$6=A457,1,0)</f>
        <v>0</v>
      </c>
      <c r="D457">
        <f>IF(AtoutsHandicapsMatos!$N$7=A457,1,0)</f>
        <v>0</v>
      </c>
      <c r="E457">
        <f>IF(AtoutsHandicapsMatos!$N$8=A457,1,0)</f>
        <v>0</v>
      </c>
      <c r="F457">
        <f>IF(AtoutsHandicapsMatos!$N$9=A457,1,0)</f>
        <v>0</v>
      </c>
      <c r="G457">
        <f>IF(AtoutsHandicapsMatos!$O$10=A457,1,0)</f>
        <v>0</v>
      </c>
      <c r="H457">
        <f>IF(AtoutsHandicapsMatos!$O$11=A457,1,0)</f>
        <v>0</v>
      </c>
      <c r="I457">
        <f>IF(AtoutsHandicapsMatos!$O$12=A457,1,0)</f>
        <v>0</v>
      </c>
      <c r="J457">
        <f>IF(AtoutsHandicapsMatos!$N$13=A457,1,0)</f>
        <v>0</v>
      </c>
      <c r="K457">
        <f>IF(AtoutsHandicapsMatos!$N$14=A457,1,0)</f>
        <v>0</v>
      </c>
      <c r="L457">
        <f>IF('Perso Reloaded'!$L$30=A457,1,0)</f>
        <v>0</v>
      </c>
      <c r="M457">
        <f>IF('Perso Reloaded'!$L$31=A457,1,0)</f>
        <v>0</v>
      </c>
      <c r="N457">
        <f>IF('Perso Reloaded'!$L$32=A457,1,0)</f>
        <v>0</v>
      </c>
      <c r="O457">
        <f>IF('Perso Reloaded'!$L$33=A457,1,0)</f>
        <v>0</v>
      </c>
      <c r="P457">
        <f>IF('Perso Reloaded'!$L$34=A457,1,0)</f>
        <v>0</v>
      </c>
      <c r="Q457">
        <f>IF('Perso Reloaded'!$L$35=A457,1,0)</f>
        <v>0</v>
      </c>
      <c r="R457">
        <f>IF('Perso Reloaded'!$L$36=A457,1,0)</f>
        <v>0</v>
      </c>
      <c r="S457">
        <f>IF('Perso Reloaded'!$L$37=A457,1,0)</f>
        <v>0</v>
      </c>
      <c r="T457">
        <f t="shared" si="31"/>
        <v>0</v>
      </c>
      <c r="U457" t="b">
        <f t="shared" si="32"/>
        <v>0</v>
      </c>
    </row>
    <row r="458" spans="1:21" x14ac:dyDescent="0.3">
      <c r="A458" s="65" t="s">
        <v>1170</v>
      </c>
      <c r="B458">
        <f>IF(AtoutsHandicapsMatos!$N$5=A458,1,0)</f>
        <v>0</v>
      </c>
      <c r="C458">
        <f>IF(AtoutsHandicapsMatos!$N$6=A458,1,0)</f>
        <v>0</v>
      </c>
      <c r="D458">
        <f>IF(AtoutsHandicapsMatos!$N$7=A458,1,0)</f>
        <v>0</v>
      </c>
      <c r="E458">
        <f>IF(AtoutsHandicapsMatos!$N$8=A458,1,0)</f>
        <v>0</v>
      </c>
      <c r="F458">
        <f>IF(AtoutsHandicapsMatos!$N$9=A458,1,0)</f>
        <v>0</v>
      </c>
      <c r="G458">
        <f>IF(AtoutsHandicapsMatos!$O$10=A458,1,0)</f>
        <v>0</v>
      </c>
      <c r="H458">
        <f>IF(AtoutsHandicapsMatos!$O$11=A458,1,0)</f>
        <v>0</v>
      </c>
      <c r="I458">
        <f>IF(AtoutsHandicapsMatos!$O$12=A458,1,0)</f>
        <v>0</v>
      </c>
      <c r="J458">
        <f>IF(AtoutsHandicapsMatos!$N$13=A458,1,0)</f>
        <v>0</v>
      </c>
      <c r="K458">
        <f>IF(AtoutsHandicapsMatos!$N$14=A458,1,0)</f>
        <v>0</v>
      </c>
      <c r="L458">
        <f>IF('Perso Reloaded'!$L$30=A458,1,0)</f>
        <v>0</v>
      </c>
      <c r="M458">
        <f>IF('Perso Reloaded'!$L$31=A458,1,0)</f>
        <v>0</v>
      </c>
      <c r="N458">
        <f>IF('Perso Reloaded'!$L$32=A458,1,0)</f>
        <v>0</v>
      </c>
      <c r="O458">
        <f>IF('Perso Reloaded'!$L$33=A458,1,0)</f>
        <v>0</v>
      </c>
      <c r="P458">
        <f>IF('Perso Reloaded'!$L$34=A458,1,0)</f>
        <v>0</v>
      </c>
      <c r="Q458">
        <f>IF('Perso Reloaded'!$L$35=A458,1,0)</f>
        <v>0</v>
      </c>
      <c r="R458">
        <f>IF('Perso Reloaded'!$L$36=A458,1,0)</f>
        <v>0</v>
      </c>
      <c r="S458">
        <f>IF('Perso Reloaded'!$L$37=A458,1,0)</f>
        <v>0</v>
      </c>
      <c r="T458">
        <f t="shared" si="31"/>
        <v>0</v>
      </c>
      <c r="U458" t="b">
        <f t="shared" si="32"/>
        <v>0</v>
      </c>
    </row>
    <row r="459" spans="1:21" x14ac:dyDescent="0.3">
      <c r="A459" s="65" t="str">
        <f>IF(OR('Perso Classic'!$C$6="Féminin",SexePerso="Féminin"),"Maudite/Malchanceuse","Maudit/Malchanceux")</f>
        <v>Maudit/Malchanceux</v>
      </c>
      <c r="B459">
        <f>IF(AtoutsHandicapsMatos!$N$5=A459,1,0)</f>
        <v>0</v>
      </c>
      <c r="C459">
        <f>IF(AtoutsHandicapsMatos!$N$6=A459,1,0)</f>
        <v>0</v>
      </c>
      <c r="D459">
        <f>IF(AtoutsHandicapsMatos!$N$7=A459,1,0)</f>
        <v>0</v>
      </c>
      <c r="E459">
        <f>IF(AtoutsHandicapsMatos!$N$8=A459,1,0)</f>
        <v>0</v>
      </c>
      <c r="F459">
        <f>IF(AtoutsHandicapsMatos!$N$9=A459,1,0)</f>
        <v>0</v>
      </c>
      <c r="G459">
        <f>IF(AtoutsHandicapsMatos!$O$10=A459,1,0)</f>
        <v>0</v>
      </c>
      <c r="H459">
        <f>IF(AtoutsHandicapsMatos!$O$11=A459,1,0)</f>
        <v>0</v>
      </c>
      <c r="I459">
        <f>IF(AtoutsHandicapsMatos!$O$12=A459,1,0)</f>
        <v>0</v>
      </c>
      <c r="J459">
        <f>IF(AtoutsHandicapsMatos!$N$13=A459,1,0)</f>
        <v>0</v>
      </c>
      <c r="K459">
        <f>IF(AtoutsHandicapsMatos!$N$14=A459,1,0)</f>
        <v>0</v>
      </c>
      <c r="L459">
        <f>IF('Perso Reloaded'!$L$30=A459,1,0)</f>
        <v>0</v>
      </c>
      <c r="M459">
        <f>IF('Perso Reloaded'!$L$31=A459,1,0)</f>
        <v>0</v>
      </c>
      <c r="N459">
        <f>IF('Perso Reloaded'!$L$32=A459,1,0)</f>
        <v>0</v>
      </c>
      <c r="O459">
        <f>IF('Perso Reloaded'!$L$33=A459,1,0)</f>
        <v>0</v>
      </c>
      <c r="P459">
        <f>IF('Perso Reloaded'!$L$34=A459,1,0)</f>
        <v>0</v>
      </c>
      <c r="Q459">
        <f>IF('Perso Reloaded'!$L$35=A459,1,0)</f>
        <v>0</v>
      </c>
      <c r="R459">
        <f>IF('Perso Reloaded'!$L$36=A459,1,0)</f>
        <v>0</v>
      </c>
      <c r="S459">
        <f>IF('Perso Reloaded'!$L$37=A459,1,0)</f>
        <v>0</v>
      </c>
      <c r="T459">
        <f t="shared" si="31"/>
        <v>0</v>
      </c>
      <c r="U459" t="b">
        <f t="shared" si="32"/>
        <v>0</v>
      </c>
    </row>
    <row r="460" spans="1:21" x14ac:dyDescent="0.3">
      <c r="A460" s="65" t="s">
        <v>243</v>
      </c>
      <c r="B460">
        <f>IF(AtoutsHandicapsMatos!$N$5=A460,1,0)</f>
        <v>0</v>
      </c>
      <c r="C460">
        <f>IF(AtoutsHandicapsMatos!$N$6=A460,1,0)</f>
        <v>0</v>
      </c>
      <c r="D460">
        <f>IF(AtoutsHandicapsMatos!$N$7=A460,1,0)</f>
        <v>0</v>
      </c>
      <c r="E460">
        <f>IF(AtoutsHandicapsMatos!$N$8=A460,1,0)</f>
        <v>0</v>
      </c>
      <c r="F460">
        <f>IF(AtoutsHandicapsMatos!$N$9=A460,1,0)</f>
        <v>0</v>
      </c>
      <c r="G460">
        <f>IF(AtoutsHandicapsMatos!$O$10=A460,1,0)</f>
        <v>0</v>
      </c>
      <c r="H460">
        <f>IF(AtoutsHandicapsMatos!$O$11=A460,1,0)</f>
        <v>0</v>
      </c>
      <c r="I460">
        <f>IF(AtoutsHandicapsMatos!$O$12=A460,1,0)</f>
        <v>0</v>
      </c>
      <c r="J460">
        <f>IF(AtoutsHandicapsMatos!$N$13=A460,1,0)</f>
        <v>0</v>
      </c>
      <c r="K460">
        <f>IF(AtoutsHandicapsMatos!$N$14=A460,1,0)</f>
        <v>0</v>
      </c>
      <c r="L460">
        <f>IF('Perso Reloaded'!$L$30=A460,1,0)</f>
        <v>0</v>
      </c>
      <c r="M460">
        <f>IF('Perso Reloaded'!$L$31=A460,1,0)</f>
        <v>0</v>
      </c>
      <c r="N460">
        <f>IF('Perso Reloaded'!$L$32=A460,1,0)</f>
        <v>0</v>
      </c>
      <c r="O460">
        <f>IF('Perso Reloaded'!$L$33=A460,1,0)</f>
        <v>0</v>
      </c>
      <c r="P460">
        <f>IF('Perso Reloaded'!$L$34=A460,1,0)</f>
        <v>0</v>
      </c>
      <c r="Q460">
        <f>IF('Perso Reloaded'!$L$35=A460,1,0)</f>
        <v>0</v>
      </c>
      <c r="R460">
        <f>IF('Perso Reloaded'!$L$36=A460,1,0)</f>
        <v>0</v>
      </c>
      <c r="S460">
        <f>IF('Perso Reloaded'!$L$37=A460,1,0)</f>
        <v>0</v>
      </c>
      <c r="T460">
        <f t="shared" si="31"/>
        <v>0</v>
      </c>
      <c r="U460" t="b">
        <f t="shared" si="32"/>
        <v>0</v>
      </c>
    </row>
    <row r="461" spans="1:21" x14ac:dyDescent="0.3">
      <c r="A461" s="65" t="str">
        <f>IF(OR('Perso Classic'!$C$6="Féminin",SexePerso="Féminin"),"Méchante comme un Teigne/Sale Caractère","Méchant comme un Teigne/Sale Caractère")</f>
        <v>Méchant comme un Teigne/Sale Caractère</v>
      </c>
      <c r="B461">
        <f>IF(AtoutsHandicapsMatos!$N$5=A461,1,0)</f>
        <v>0</v>
      </c>
      <c r="C461">
        <f>IF(AtoutsHandicapsMatos!$N$6=A461,1,0)</f>
        <v>0</v>
      </c>
      <c r="D461">
        <f>IF(AtoutsHandicapsMatos!$N$7=A461,1,0)</f>
        <v>0</v>
      </c>
      <c r="E461">
        <f>IF(AtoutsHandicapsMatos!$N$8=A461,1,0)</f>
        <v>0</v>
      </c>
      <c r="F461">
        <f>IF(AtoutsHandicapsMatos!$N$9=A461,1,0)</f>
        <v>0</v>
      </c>
      <c r="G461">
        <f>IF(AtoutsHandicapsMatos!$O$10=A461,1,0)</f>
        <v>0</v>
      </c>
      <c r="H461">
        <f>IF(AtoutsHandicapsMatos!$O$11=A461,1,0)</f>
        <v>0</v>
      </c>
      <c r="I461">
        <f>IF(AtoutsHandicapsMatos!$O$12=A461,1,0)</f>
        <v>0</v>
      </c>
      <c r="J461">
        <f>IF(AtoutsHandicapsMatos!$N$13=A461,1,0)</f>
        <v>0</v>
      </c>
      <c r="K461">
        <f>IF(AtoutsHandicapsMatos!$N$14=A461,1,0)</f>
        <v>0</v>
      </c>
      <c r="L461">
        <f>IF('Perso Reloaded'!$L$30=A461,1,0)</f>
        <v>0</v>
      </c>
      <c r="M461">
        <f>IF('Perso Reloaded'!$L$31=A461,1,0)</f>
        <v>0</v>
      </c>
      <c r="N461">
        <f>IF('Perso Reloaded'!$L$32=A461,1,0)</f>
        <v>0</v>
      </c>
      <c r="O461">
        <f>IF('Perso Reloaded'!$L$33=A461,1,0)</f>
        <v>0</v>
      </c>
      <c r="P461">
        <f>IF('Perso Reloaded'!$L$34=A461,1,0)</f>
        <v>0</v>
      </c>
      <c r="Q461">
        <f>IF('Perso Reloaded'!$L$35=A461,1,0)</f>
        <v>0</v>
      </c>
      <c r="R461">
        <f>IF('Perso Reloaded'!$L$36=A461,1,0)</f>
        <v>0</v>
      </c>
      <c r="S461">
        <f>IF('Perso Reloaded'!$L$37=A461,1,0)</f>
        <v>0</v>
      </c>
      <c r="T461">
        <f t="shared" si="31"/>
        <v>0</v>
      </c>
      <c r="U461" t="b">
        <f t="shared" si="32"/>
        <v>0</v>
      </c>
    </row>
    <row r="462" spans="1:21" x14ac:dyDescent="0.3">
      <c r="A462" s="65" t="str">
        <f>IF(OR('Perso Classic'!$C$6="Féminin",SexePerso="Féminin"),"Méprisante","Méprisant")</f>
        <v>Méprisant</v>
      </c>
      <c r="B462">
        <f>IF(AtoutsHandicapsMatos!$N$5=A462,1,0)</f>
        <v>0</v>
      </c>
      <c r="C462">
        <f>IF(AtoutsHandicapsMatos!$N$6=A462,1,0)</f>
        <v>0</v>
      </c>
      <c r="D462">
        <f>IF(AtoutsHandicapsMatos!$N$7=A462,1,0)</f>
        <v>0</v>
      </c>
      <c r="E462">
        <f>IF(AtoutsHandicapsMatos!$N$8=A462,1,0)</f>
        <v>0</v>
      </c>
      <c r="F462">
        <f>IF(AtoutsHandicapsMatos!$N$9=A462,1,0)</f>
        <v>0</v>
      </c>
      <c r="G462">
        <f>IF(AtoutsHandicapsMatos!$O$10=A462,1,0)</f>
        <v>0</v>
      </c>
      <c r="H462">
        <f>IF(AtoutsHandicapsMatos!$O$11=A462,1,0)</f>
        <v>0</v>
      </c>
      <c r="I462">
        <f>IF(AtoutsHandicapsMatos!$O$12=A462,1,0)</f>
        <v>0</v>
      </c>
      <c r="J462">
        <f>IF(AtoutsHandicapsMatos!$N$13=A462,1,0)</f>
        <v>0</v>
      </c>
      <c r="K462">
        <f>IF(AtoutsHandicapsMatos!$N$14=A462,1,0)</f>
        <v>0</v>
      </c>
      <c r="L462">
        <f>IF('Perso Reloaded'!$L$30=A462,1,0)</f>
        <v>0</v>
      </c>
      <c r="M462">
        <f>IF('Perso Reloaded'!$L$31=A462,1,0)</f>
        <v>0</v>
      </c>
      <c r="N462">
        <f>IF('Perso Reloaded'!$L$32=A462,1,0)</f>
        <v>0</v>
      </c>
      <c r="O462">
        <f>IF('Perso Reloaded'!$L$33=A462,1,0)</f>
        <v>0</v>
      </c>
      <c r="P462">
        <f>IF('Perso Reloaded'!$L$34=A462,1,0)</f>
        <v>0</v>
      </c>
      <c r="Q462">
        <f>IF('Perso Reloaded'!$L$35=A462,1,0)</f>
        <v>0</v>
      </c>
      <c r="R462">
        <f>IF('Perso Reloaded'!$L$36=A462,1,0)</f>
        <v>0</v>
      </c>
      <c r="S462">
        <f>IF('Perso Reloaded'!$L$37=A462,1,0)</f>
        <v>0</v>
      </c>
      <c r="T462">
        <f t="shared" si="31"/>
        <v>0</v>
      </c>
      <c r="U462" t="b">
        <f t="shared" si="32"/>
        <v>0</v>
      </c>
    </row>
    <row r="463" spans="1:21" x14ac:dyDescent="0.3">
      <c r="A463" s="65" t="s">
        <v>1409</v>
      </c>
      <c r="B463">
        <f>IF(AtoutsHandicapsMatos!$N$5=A463,1,0)</f>
        <v>0</v>
      </c>
      <c r="C463">
        <f>IF(AtoutsHandicapsMatos!$N$6=A463,1,0)</f>
        <v>0</v>
      </c>
      <c r="D463">
        <f>IF(AtoutsHandicapsMatos!$N$7=A463,1,0)</f>
        <v>0</v>
      </c>
      <c r="E463">
        <f>IF(AtoutsHandicapsMatos!$N$8=A463,1,0)</f>
        <v>0</v>
      </c>
      <c r="F463">
        <f>IF(AtoutsHandicapsMatos!$N$9=A463,1,0)</f>
        <v>0</v>
      </c>
      <c r="G463">
        <f>IF(AtoutsHandicapsMatos!$O$10=A463,1,0)</f>
        <v>0</v>
      </c>
      <c r="H463">
        <f>IF(AtoutsHandicapsMatos!$O$11=A463,1,0)</f>
        <v>0</v>
      </c>
      <c r="I463">
        <f>IF(AtoutsHandicapsMatos!$O$12=A463,1,0)</f>
        <v>0</v>
      </c>
      <c r="J463">
        <f>IF(AtoutsHandicapsMatos!$N$13=A463,1,0)</f>
        <v>0</v>
      </c>
      <c r="K463">
        <f>IF(AtoutsHandicapsMatos!$N$14=A463,1,0)</f>
        <v>0</v>
      </c>
      <c r="L463">
        <f>IF('Perso Reloaded'!$L$30=A463,1,0)</f>
        <v>0</v>
      </c>
      <c r="M463">
        <f>IF('Perso Reloaded'!$L$31=A463,1,0)</f>
        <v>0</v>
      </c>
      <c r="N463">
        <f>IF('Perso Reloaded'!$L$32=A463,1,0)</f>
        <v>0</v>
      </c>
      <c r="O463">
        <f>IF('Perso Reloaded'!$L$33=A463,1,0)</f>
        <v>0</v>
      </c>
      <c r="P463">
        <f>IF('Perso Reloaded'!$L$34=A463,1,0)</f>
        <v>0</v>
      </c>
      <c r="Q463">
        <f>IF('Perso Reloaded'!$L$35=A463,1,0)</f>
        <v>0</v>
      </c>
      <c r="R463">
        <f>IF('Perso Reloaded'!$L$36=A463,1,0)</f>
        <v>0</v>
      </c>
      <c r="S463">
        <f>IF('Perso Reloaded'!$L$37=A463,1,0)</f>
        <v>0</v>
      </c>
      <c r="T463">
        <f t="shared" si="31"/>
        <v>0</v>
      </c>
      <c r="U463" t="b">
        <f t="shared" si="32"/>
        <v>0</v>
      </c>
    </row>
    <row r="464" spans="1:21" x14ac:dyDescent="0.3">
      <c r="A464" s="65" t="str">
        <f>IF(OR('Perso Classic'!$C$6="Féminin",SexePerso="Féminin"),"Môme (Adolescente)","Môme (Adolescent)")</f>
        <v>Môme (Adolescent)</v>
      </c>
      <c r="B464">
        <f>IF(AtoutsHandicapsMatos!$N$5=A464,1,0)</f>
        <v>0</v>
      </c>
      <c r="C464">
        <f>IF(AtoutsHandicapsMatos!$N$6=A464,1,0)</f>
        <v>0</v>
      </c>
      <c r="D464">
        <f>IF(AtoutsHandicapsMatos!$N$7=A464,1,0)</f>
        <v>0</v>
      </c>
      <c r="E464">
        <f>IF(AtoutsHandicapsMatos!$N$8=A464,1,0)</f>
        <v>0</v>
      </c>
      <c r="F464">
        <f>IF(AtoutsHandicapsMatos!$N$9=A464,1,0)</f>
        <v>0</v>
      </c>
      <c r="G464">
        <f>IF(AtoutsHandicapsMatos!$O$10=A464,1,0)</f>
        <v>0</v>
      </c>
      <c r="H464">
        <f>IF(AtoutsHandicapsMatos!$O$11=A464,1,0)</f>
        <v>0</v>
      </c>
      <c r="I464">
        <f>IF(AtoutsHandicapsMatos!$O$12=A464,1,0)</f>
        <v>0</v>
      </c>
      <c r="J464">
        <f>IF(AtoutsHandicapsMatos!$N$13=A464,1,0)</f>
        <v>0</v>
      </c>
      <c r="K464">
        <f>IF(AtoutsHandicapsMatos!$N$14=A464,1,0)</f>
        <v>0</v>
      </c>
      <c r="L464">
        <f>IF('Perso Reloaded'!$L$30=A464,1,0)</f>
        <v>0</v>
      </c>
      <c r="M464">
        <f>IF('Perso Reloaded'!$L$31=A464,1,0)</f>
        <v>0</v>
      </c>
      <c r="N464">
        <f>IF('Perso Reloaded'!$L$32=A464,1,0)</f>
        <v>0</v>
      </c>
      <c r="O464">
        <f>IF('Perso Reloaded'!$L$33=A464,1,0)</f>
        <v>0</v>
      </c>
      <c r="P464">
        <f>IF('Perso Reloaded'!$L$34=A464,1,0)</f>
        <v>0</v>
      </c>
      <c r="Q464">
        <f>IF('Perso Reloaded'!$L$35=A464,1,0)</f>
        <v>0</v>
      </c>
      <c r="R464">
        <f>IF('Perso Reloaded'!$L$36=A464,1,0)</f>
        <v>0</v>
      </c>
      <c r="S464">
        <f>IF('Perso Reloaded'!$L$37=A464,1,0)</f>
        <v>0</v>
      </c>
      <c r="T464">
        <f t="shared" si="31"/>
        <v>0</v>
      </c>
      <c r="U464" t="b">
        <f>IF(T464&gt;0,TRUE,IF(AND(agecalc&gt;14,agecalc&lt;18),TRUE,FALSE))</f>
        <v>0</v>
      </c>
    </row>
    <row r="465" spans="1:21" x14ac:dyDescent="0.3">
      <c r="A465" s="65" t="str">
        <f>IF(OR('Perso Classic'!$C$6="Féminin",SexePerso="Féminin"),"Môme (Gamine)","Môme (Gamin)")</f>
        <v>Môme (Gamin)</v>
      </c>
      <c r="B465">
        <f>IF(AtoutsHandicapsMatos!$N$5=A465,1,0)</f>
        <v>0</v>
      </c>
      <c r="C465">
        <f>IF(AtoutsHandicapsMatos!$N$6=A465,1,0)</f>
        <v>0</v>
      </c>
      <c r="D465">
        <f>IF(AtoutsHandicapsMatos!$N$7=A465,1,0)</f>
        <v>0</v>
      </c>
      <c r="E465">
        <f>IF(AtoutsHandicapsMatos!$N$8=A465,1,0)</f>
        <v>0</v>
      </c>
      <c r="F465">
        <f>IF(AtoutsHandicapsMatos!$N$9=A465,1,0)</f>
        <v>0</v>
      </c>
      <c r="G465">
        <f>IF(AtoutsHandicapsMatos!$O$10=A465,1,0)</f>
        <v>0</v>
      </c>
      <c r="H465">
        <f>IF(AtoutsHandicapsMatos!$O$11=A465,1,0)</f>
        <v>0</v>
      </c>
      <c r="I465">
        <f>IF(AtoutsHandicapsMatos!$O$12=A465,1,0)</f>
        <v>0</v>
      </c>
      <c r="J465">
        <f>IF(AtoutsHandicapsMatos!$N$13=A465,1,0)</f>
        <v>0</v>
      </c>
      <c r="K465">
        <f>IF(AtoutsHandicapsMatos!$N$14=A465,1,0)</f>
        <v>0</v>
      </c>
      <c r="L465">
        <f>IF('Perso Reloaded'!$L$30=A465,1,0)</f>
        <v>0</v>
      </c>
      <c r="M465">
        <f>IF('Perso Reloaded'!$L$31=A465,1,0)</f>
        <v>0</v>
      </c>
      <c r="N465">
        <f>IF('Perso Reloaded'!$L$32=A465,1,0)</f>
        <v>0</v>
      </c>
      <c r="O465">
        <f>IF('Perso Reloaded'!$L$33=A465,1,0)</f>
        <v>0</v>
      </c>
      <c r="P465">
        <f>IF('Perso Reloaded'!$L$34=A465,1,0)</f>
        <v>0</v>
      </c>
      <c r="Q465">
        <f>IF('Perso Reloaded'!$L$35=A465,1,0)</f>
        <v>0</v>
      </c>
      <c r="R465">
        <f>IF('Perso Reloaded'!$L$36=A465,1,0)</f>
        <v>0</v>
      </c>
      <c r="S465">
        <f>IF('Perso Reloaded'!$L$37=A465,1,0)</f>
        <v>0</v>
      </c>
      <c r="T465">
        <f t="shared" si="31"/>
        <v>0</v>
      </c>
      <c r="U465" t="b">
        <f>IF(T465&gt;0,TRUE,IF(agecalc&lt;14,TRUE,FALSE))</f>
        <v>1</v>
      </c>
    </row>
    <row r="466" spans="1:21" x14ac:dyDescent="0.3">
      <c r="A466" s="65" t="s">
        <v>4799</v>
      </c>
      <c r="B466">
        <f>IF(AtoutsHandicapsMatos!$N$5=A466,1,0)</f>
        <v>0</v>
      </c>
      <c r="C466">
        <f>IF(AtoutsHandicapsMatos!$N$6=A466,1,0)</f>
        <v>0</v>
      </c>
      <c r="D466">
        <f>IF(AtoutsHandicapsMatos!$N$7=A466,1,0)</f>
        <v>0</v>
      </c>
      <c r="E466">
        <f>IF(AtoutsHandicapsMatos!$N$8=A466,1,0)</f>
        <v>0</v>
      </c>
      <c r="F466">
        <f>IF(AtoutsHandicapsMatos!$N$9=A466,1,0)</f>
        <v>0</v>
      </c>
      <c r="G466">
        <f>IF(AtoutsHandicapsMatos!$O$10=A466,1,0)</f>
        <v>0</v>
      </c>
      <c r="H466">
        <f>IF(AtoutsHandicapsMatos!$O$11=A466,1,0)</f>
        <v>0</v>
      </c>
      <c r="I466">
        <f>IF(AtoutsHandicapsMatos!$O$12=A466,1,0)</f>
        <v>0</v>
      </c>
      <c r="J466">
        <f>IF(AtoutsHandicapsMatos!$N$13=A466,1,0)</f>
        <v>0</v>
      </c>
      <c r="K466">
        <f>IF(AtoutsHandicapsMatos!$N$14=A466,1,0)</f>
        <v>0</v>
      </c>
      <c r="L466">
        <f>IF('Perso Reloaded'!$L$30=A466,1,0)</f>
        <v>0</v>
      </c>
      <c r="M466">
        <f>IF('Perso Reloaded'!$L$31=A466,1,0)</f>
        <v>0</v>
      </c>
      <c r="N466">
        <f>IF('Perso Reloaded'!$L$32=A466,1,0)</f>
        <v>0</v>
      </c>
      <c r="O466">
        <f>IF('Perso Reloaded'!$L$33=A466,1,0)</f>
        <v>0</v>
      </c>
      <c r="P466">
        <f>IF('Perso Reloaded'!$L$34=A466,1,0)</f>
        <v>0</v>
      </c>
      <c r="Q466">
        <f>IF('Perso Reloaded'!$L$35=A466,1,0)</f>
        <v>0</v>
      </c>
      <c r="R466">
        <f>IF('Perso Reloaded'!$L$36=A466,1,0)</f>
        <v>0</v>
      </c>
      <c r="S466">
        <f>IF('Perso Reloaded'!$L$37=A466,1,0)</f>
        <v>0</v>
      </c>
      <c r="T466">
        <f t="shared" ref="T466" si="36">SUM(B466:S466)</f>
        <v>0</v>
      </c>
      <c r="U466" t="b">
        <f t="shared" ref="U466" si="37">IF(T466=0,FALSE,TRUE)</f>
        <v>0</v>
      </c>
    </row>
    <row r="467" spans="1:21" x14ac:dyDescent="0.3">
      <c r="A467" s="65" t="str">
        <f>IF(OR('Perso Classic'!$C$6="Féminin",SexePerso="Féminin"),"Nauséeuse","Nauséeux")</f>
        <v>Nauséeux</v>
      </c>
      <c r="B467">
        <f>IF(AtoutsHandicapsMatos!$N$5=A467,1,0)</f>
        <v>0</v>
      </c>
      <c r="C467">
        <f>IF(AtoutsHandicapsMatos!$N$6=A467,1,0)</f>
        <v>0</v>
      </c>
      <c r="D467">
        <f>IF(AtoutsHandicapsMatos!$N$7=A467,1,0)</f>
        <v>0</v>
      </c>
      <c r="E467">
        <f>IF(AtoutsHandicapsMatos!$N$8=A467,1,0)</f>
        <v>0</v>
      </c>
      <c r="F467">
        <f>IF(AtoutsHandicapsMatos!$N$9=A467,1,0)</f>
        <v>0</v>
      </c>
      <c r="G467">
        <f>IF(AtoutsHandicapsMatos!$O$10=A467,1,0)</f>
        <v>0</v>
      </c>
      <c r="H467">
        <f>IF(AtoutsHandicapsMatos!$O$11=A467,1,0)</f>
        <v>0</v>
      </c>
      <c r="I467">
        <f>IF(AtoutsHandicapsMatos!$O$12=A467,1,0)</f>
        <v>0</v>
      </c>
      <c r="J467">
        <f>IF(AtoutsHandicapsMatos!$N$13=A467,1,0)</f>
        <v>0</v>
      </c>
      <c r="K467">
        <f>IF(AtoutsHandicapsMatos!$N$14=A467,1,0)</f>
        <v>0</v>
      </c>
      <c r="L467">
        <f>IF('Perso Reloaded'!$L$30=A467,1,0)</f>
        <v>0</v>
      </c>
      <c r="M467">
        <f>IF('Perso Reloaded'!$L$31=A467,1,0)</f>
        <v>0</v>
      </c>
      <c r="N467">
        <f>IF('Perso Reloaded'!$L$32=A467,1,0)</f>
        <v>0</v>
      </c>
      <c r="O467">
        <f>IF('Perso Reloaded'!$L$33=A467,1,0)</f>
        <v>0</v>
      </c>
      <c r="P467">
        <f>IF('Perso Reloaded'!$L$34=A467,1,0)</f>
        <v>0</v>
      </c>
      <c r="Q467">
        <f>IF('Perso Reloaded'!$L$35=A467,1,0)</f>
        <v>0</v>
      </c>
      <c r="R467">
        <f>IF('Perso Reloaded'!$L$36=A467,1,0)</f>
        <v>0</v>
      </c>
      <c r="S467">
        <f>IF('Perso Reloaded'!$L$37=A467,1,0)</f>
        <v>0</v>
      </c>
      <c r="T467">
        <f t="shared" si="31"/>
        <v>0</v>
      </c>
      <c r="U467" t="b">
        <f t="shared" si="32"/>
        <v>0</v>
      </c>
    </row>
    <row r="468" spans="1:21" x14ac:dyDescent="0.3">
      <c r="A468" s="65" t="str">
        <f>IF(OR('Perso Classic'!$C$6="Féminin",SexePerso="Féminin"),"Née de mauvaise augure","Né de mauvaise augure")</f>
        <v>Né de mauvaise augure</v>
      </c>
      <c r="B468">
        <f>IF(AtoutsHandicapsMatos!$N$5=A468,1,0)</f>
        <v>0</v>
      </c>
      <c r="C468">
        <f>IF(AtoutsHandicapsMatos!$N$6=A468,1,0)</f>
        <v>0</v>
      </c>
      <c r="D468">
        <f>IF(AtoutsHandicapsMatos!$N$7=A468,1,0)</f>
        <v>0</v>
      </c>
      <c r="E468">
        <f>IF(AtoutsHandicapsMatos!$N$8=A468,1,0)</f>
        <v>0</v>
      </c>
      <c r="F468">
        <f>IF(AtoutsHandicapsMatos!$N$9=A468,1,0)</f>
        <v>0</v>
      </c>
      <c r="G468">
        <f>IF(AtoutsHandicapsMatos!$O$10=A468,1,0)</f>
        <v>0</v>
      </c>
      <c r="H468">
        <f>IF(AtoutsHandicapsMatos!$O$11=A468,1,0)</f>
        <v>0</v>
      </c>
      <c r="I468">
        <f>IF(AtoutsHandicapsMatos!$O$12=A468,1,0)</f>
        <v>0</v>
      </c>
      <c r="J468">
        <f>IF(AtoutsHandicapsMatos!$N$13=A468,1,0)</f>
        <v>0</v>
      </c>
      <c r="K468">
        <f>IF(AtoutsHandicapsMatos!$N$14=A468,1,0)</f>
        <v>0</v>
      </c>
      <c r="L468">
        <f>IF('Perso Reloaded'!$L$30=A468,1,0)</f>
        <v>0</v>
      </c>
      <c r="M468">
        <f>IF('Perso Reloaded'!$L$31=A468,1,0)</f>
        <v>0</v>
      </c>
      <c r="N468">
        <f>IF('Perso Reloaded'!$L$32=A468,1,0)</f>
        <v>0</v>
      </c>
      <c r="O468">
        <f>IF('Perso Reloaded'!$L$33=A468,1,0)</f>
        <v>0</v>
      </c>
      <c r="P468">
        <f>IF('Perso Reloaded'!$L$34=A468,1,0)</f>
        <v>0</v>
      </c>
      <c r="Q468">
        <f>IF('Perso Reloaded'!$L$35=A468,1,0)</f>
        <v>0</v>
      </c>
      <c r="R468">
        <f>IF('Perso Reloaded'!$L$36=A468,1,0)</f>
        <v>0</v>
      </c>
      <c r="S468">
        <f>IF('Perso Reloaded'!$L$37=A468,1,0)</f>
        <v>0</v>
      </c>
      <c r="T468">
        <f t="shared" si="31"/>
        <v>0</v>
      </c>
      <c r="U468" t="b">
        <f t="shared" si="32"/>
        <v>0</v>
      </c>
    </row>
    <row r="469" spans="1:21" x14ac:dyDescent="0.3">
      <c r="A469" s="65" t="s">
        <v>245</v>
      </c>
      <c r="B469">
        <f>IF(AtoutsHandicapsMatos!$N$5=A469,1,0)</f>
        <v>0</v>
      </c>
      <c r="C469">
        <f>IF(AtoutsHandicapsMatos!$N$6=A469,1,0)</f>
        <v>0</v>
      </c>
      <c r="D469">
        <f>IF(AtoutsHandicapsMatos!$N$7=A469,1,0)</f>
        <v>0</v>
      </c>
      <c r="E469">
        <f>IF(AtoutsHandicapsMatos!$N$8=A469,1,0)</f>
        <v>0</v>
      </c>
      <c r="F469">
        <f>IF(AtoutsHandicapsMatos!$N$9=A469,1,0)</f>
        <v>0</v>
      </c>
      <c r="G469">
        <f>IF(AtoutsHandicapsMatos!$O$10=A469,1,0)</f>
        <v>0</v>
      </c>
      <c r="H469">
        <f>IF(AtoutsHandicapsMatos!$O$11=A469,1,0)</f>
        <v>0</v>
      </c>
      <c r="I469">
        <f>IF(AtoutsHandicapsMatos!$O$12=A469,1,0)</f>
        <v>0</v>
      </c>
      <c r="J469">
        <f>IF(AtoutsHandicapsMatos!$N$13=A469,1,0)</f>
        <v>0</v>
      </c>
      <c r="K469">
        <f>IF(AtoutsHandicapsMatos!$N$14=A469,1,0)</f>
        <v>0</v>
      </c>
      <c r="L469">
        <f>IF('Perso Reloaded'!$L$30=A469,1,0)</f>
        <v>0</v>
      </c>
      <c r="M469">
        <f>IF('Perso Reloaded'!$L$31=A469,1,0)</f>
        <v>0</v>
      </c>
      <c r="N469">
        <f>IF('Perso Reloaded'!$L$32=A469,1,0)</f>
        <v>0</v>
      </c>
      <c r="O469">
        <f>IF('Perso Reloaded'!$L$33=A469,1,0)</f>
        <v>0</v>
      </c>
      <c r="P469">
        <f>IF('Perso Reloaded'!$L$34=A469,1,0)</f>
        <v>0</v>
      </c>
      <c r="Q469">
        <f>IF('Perso Reloaded'!$L$35=A469,1,0)</f>
        <v>0</v>
      </c>
      <c r="R469">
        <f>IF('Perso Reloaded'!$L$36=A469,1,0)</f>
        <v>0</v>
      </c>
      <c r="S469">
        <f>IF('Perso Reloaded'!$L$37=A469,1,0)</f>
        <v>0</v>
      </c>
      <c r="T469">
        <f t="shared" si="31"/>
        <v>0</v>
      </c>
      <c r="U469" t="b">
        <f t="shared" si="32"/>
        <v>0</v>
      </c>
    </row>
    <row r="470" spans="1:21" x14ac:dyDescent="0.3">
      <c r="A470" s="65" t="s">
        <v>246</v>
      </c>
      <c r="B470">
        <f>IF(AtoutsHandicapsMatos!$N$5=A470,1,0)</f>
        <v>0</v>
      </c>
      <c r="C470">
        <f>IF(AtoutsHandicapsMatos!$N$6=A470,1,0)</f>
        <v>0</v>
      </c>
      <c r="D470">
        <f>IF(AtoutsHandicapsMatos!$N$7=A470,1,0)</f>
        <v>0</v>
      </c>
      <c r="E470">
        <f>IF(AtoutsHandicapsMatos!$N$8=A470,1,0)</f>
        <v>0</v>
      </c>
      <c r="F470">
        <f>IF(AtoutsHandicapsMatos!$N$9=A470,1,0)</f>
        <v>0</v>
      </c>
      <c r="G470">
        <f>IF(AtoutsHandicapsMatos!$O$10=A470,1,0)</f>
        <v>0</v>
      </c>
      <c r="H470">
        <f>IF(AtoutsHandicapsMatos!$O$11=A470,1,0)</f>
        <v>0</v>
      </c>
      <c r="I470">
        <f>IF(AtoutsHandicapsMatos!$O$12=A470,1,0)</f>
        <v>0</v>
      </c>
      <c r="J470">
        <f>IF(AtoutsHandicapsMatos!$N$13=A470,1,0)</f>
        <v>0</v>
      </c>
      <c r="K470">
        <f>IF(AtoutsHandicapsMatos!$N$14=A470,1,0)</f>
        <v>0</v>
      </c>
      <c r="L470">
        <f>IF('Perso Reloaded'!$L$30=A470,1,0)</f>
        <v>0</v>
      </c>
      <c r="M470">
        <f>IF('Perso Reloaded'!$L$31=A470,1,0)</f>
        <v>0</v>
      </c>
      <c r="N470">
        <f>IF('Perso Reloaded'!$L$32=A470,1,0)</f>
        <v>0</v>
      </c>
      <c r="O470">
        <f>IF('Perso Reloaded'!$L$33=A470,1,0)</f>
        <v>0</v>
      </c>
      <c r="P470">
        <f>IF('Perso Reloaded'!$L$34=A470,1,0)</f>
        <v>0</v>
      </c>
      <c r="Q470">
        <f>IF('Perso Reloaded'!$L$35=A470,1,0)</f>
        <v>0</v>
      </c>
      <c r="R470">
        <f>IF('Perso Reloaded'!$L$36=A470,1,0)</f>
        <v>0</v>
      </c>
      <c r="S470">
        <f>IF('Perso Reloaded'!$L$37=A470,1,0)</f>
        <v>0</v>
      </c>
      <c r="T470">
        <f t="shared" si="31"/>
        <v>0</v>
      </c>
      <c r="U470" t="b">
        <f t="shared" ref="U470:U532" si="38">IF(T470=0,FALSE,TRUE)</f>
        <v>0</v>
      </c>
    </row>
    <row r="471" spans="1:21" x14ac:dyDescent="0.3">
      <c r="A471" s="65" t="s">
        <v>247</v>
      </c>
      <c r="B471">
        <f>IF(AtoutsHandicapsMatos!$N$5=A471,1,0)</f>
        <v>0</v>
      </c>
      <c r="C471">
        <f>IF(AtoutsHandicapsMatos!$N$6=A471,1,0)</f>
        <v>0</v>
      </c>
      <c r="D471">
        <f>IF(AtoutsHandicapsMatos!$N$7=A471,1,0)</f>
        <v>0</v>
      </c>
      <c r="E471">
        <f>IF(AtoutsHandicapsMatos!$N$8=A471,1,0)</f>
        <v>0</v>
      </c>
      <c r="F471">
        <f>IF(AtoutsHandicapsMatos!$N$9=A471,1,0)</f>
        <v>0</v>
      </c>
      <c r="G471">
        <f>IF(AtoutsHandicapsMatos!$O$10=A471,1,0)</f>
        <v>0</v>
      </c>
      <c r="H471">
        <f>IF(AtoutsHandicapsMatos!$O$11=A471,1,0)</f>
        <v>0</v>
      </c>
      <c r="I471">
        <f>IF(AtoutsHandicapsMatos!$O$12=A471,1,0)</f>
        <v>0</v>
      </c>
      <c r="J471">
        <f>IF(AtoutsHandicapsMatos!$N$13=A471,1,0)</f>
        <v>0</v>
      </c>
      <c r="K471">
        <f>IF(AtoutsHandicapsMatos!$N$14=A471,1,0)</f>
        <v>0</v>
      </c>
      <c r="L471">
        <f>IF('Perso Reloaded'!$L$30=A471,1,0)</f>
        <v>0</v>
      </c>
      <c r="M471">
        <f>IF('Perso Reloaded'!$L$31=A471,1,0)</f>
        <v>0</v>
      </c>
      <c r="N471">
        <f>IF('Perso Reloaded'!$L$32=A471,1,0)</f>
        <v>0</v>
      </c>
      <c r="O471">
        <f>IF('Perso Reloaded'!$L$33=A471,1,0)</f>
        <v>0</v>
      </c>
      <c r="P471">
        <f>IF('Perso Reloaded'!$L$34=A471,1,0)</f>
        <v>0</v>
      </c>
      <c r="Q471">
        <f>IF('Perso Reloaded'!$L$35=A471,1,0)</f>
        <v>0</v>
      </c>
      <c r="R471">
        <f>IF('Perso Reloaded'!$L$36=A471,1,0)</f>
        <v>0</v>
      </c>
      <c r="S471">
        <f>IF('Perso Reloaded'!$L$37=A471,1,0)</f>
        <v>0</v>
      </c>
      <c r="T471">
        <f t="shared" ref="T471:T532" si="39">SUM(B471:S471)</f>
        <v>0</v>
      </c>
      <c r="U471" t="b">
        <f t="shared" si="38"/>
        <v>0</v>
      </c>
    </row>
    <row r="472" spans="1:21" x14ac:dyDescent="0.3">
      <c r="A472" s="65" t="s">
        <v>248</v>
      </c>
      <c r="B472">
        <f>IF(AtoutsHandicapsMatos!$N$5=A472,1,0)</f>
        <v>0</v>
      </c>
      <c r="C472">
        <f>IF(AtoutsHandicapsMatos!$N$6=A472,1,0)</f>
        <v>0</v>
      </c>
      <c r="D472">
        <f>IF(AtoutsHandicapsMatos!$N$7=A472,1,0)</f>
        <v>0</v>
      </c>
      <c r="E472">
        <f>IF(AtoutsHandicapsMatos!$N$8=A472,1,0)</f>
        <v>0</v>
      </c>
      <c r="F472">
        <f>IF(AtoutsHandicapsMatos!$N$9=A472,1,0)</f>
        <v>0</v>
      </c>
      <c r="G472">
        <f>IF(AtoutsHandicapsMatos!$O$10=A472,1,0)</f>
        <v>0</v>
      </c>
      <c r="H472">
        <f>IF(AtoutsHandicapsMatos!$O$11=A472,1,0)</f>
        <v>0</v>
      </c>
      <c r="I472">
        <f>IF(AtoutsHandicapsMatos!$O$12=A472,1,0)</f>
        <v>0</v>
      </c>
      <c r="J472">
        <f>IF(AtoutsHandicapsMatos!$N$13=A472,1,0)</f>
        <v>0</v>
      </c>
      <c r="K472">
        <f>IF(AtoutsHandicapsMatos!$N$14=A472,1,0)</f>
        <v>0</v>
      </c>
      <c r="L472">
        <f>IF('Perso Reloaded'!$L$30=A472,1,0)</f>
        <v>0</v>
      </c>
      <c r="M472">
        <f>IF('Perso Reloaded'!$L$31=A472,1,0)</f>
        <v>0</v>
      </c>
      <c r="N472">
        <f>IF('Perso Reloaded'!$L$32=A472,1,0)</f>
        <v>0</v>
      </c>
      <c r="O472">
        <f>IF('Perso Reloaded'!$L$33=A472,1,0)</f>
        <v>0</v>
      </c>
      <c r="P472">
        <f>IF('Perso Reloaded'!$L$34=A472,1,0)</f>
        <v>0</v>
      </c>
      <c r="Q472">
        <f>IF('Perso Reloaded'!$L$35=A472,1,0)</f>
        <v>0</v>
      </c>
      <c r="R472">
        <f>IF('Perso Reloaded'!$L$36=A472,1,0)</f>
        <v>0</v>
      </c>
      <c r="S472">
        <f>IF('Perso Reloaded'!$L$37=A472,1,0)</f>
        <v>0</v>
      </c>
      <c r="T472">
        <f t="shared" si="39"/>
        <v>0</v>
      </c>
      <c r="U472" t="b">
        <f t="shared" si="38"/>
        <v>0</v>
      </c>
    </row>
    <row r="473" spans="1:21" x14ac:dyDescent="0.3">
      <c r="A473" s="65" t="s">
        <v>249</v>
      </c>
      <c r="B473">
        <f>IF(AtoutsHandicapsMatos!$N$5=A473,1,0)</f>
        <v>0</v>
      </c>
      <c r="C473">
        <f>IF(AtoutsHandicapsMatos!$N$6=A473,1,0)</f>
        <v>0</v>
      </c>
      <c r="D473">
        <f>IF(AtoutsHandicapsMatos!$N$7=A473,1,0)</f>
        <v>0</v>
      </c>
      <c r="E473">
        <f>IF(AtoutsHandicapsMatos!$N$8=A473,1,0)</f>
        <v>0</v>
      </c>
      <c r="F473">
        <f>IF(AtoutsHandicapsMatos!$N$9=A473,1,0)</f>
        <v>0</v>
      </c>
      <c r="G473">
        <f>IF(AtoutsHandicapsMatos!$O$10=A473,1,0)</f>
        <v>0</v>
      </c>
      <c r="H473">
        <f>IF(AtoutsHandicapsMatos!$O$11=A473,1,0)</f>
        <v>0</v>
      </c>
      <c r="I473">
        <f>IF(AtoutsHandicapsMatos!$O$12=A473,1,0)</f>
        <v>0</v>
      </c>
      <c r="J473">
        <f>IF(AtoutsHandicapsMatos!$N$13=A473,1,0)</f>
        <v>0</v>
      </c>
      <c r="K473">
        <f>IF(AtoutsHandicapsMatos!$N$14=A473,1,0)</f>
        <v>0</v>
      </c>
      <c r="L473">
        <f>IF('Perso Reloaded'!$L$30=A473,1,0)</f>
        <v>0</v>
      </c>
      <c r="M473">
        <f>IF('Perso Reloaded'!$L$31=A473,1,0)</f>
        <v>0</v>
      </c>
      <c r="N473">
        <f>IF('Perso Reloaded'!$L$32=A473,1,0)</f>
        <v>0</v>
      </c>
      <c r="O473">
        <f>IF('Perso Reloaded'!$L$33=A473,1,0)</f>
        <v>0</v>
      </c>
      <c r="P473">
        <f>IF('Perso Reloaded'!$L$34=A473,1,0)</f>
        <v>0</v>
      </c>
      <c r="Q473">
        <f>IF('Perso Reloaded'!$L$35=A473,1,0)</f>
        <v>0</v>
      </c>
      <c r="R473">
        <f>IF('Perso Reloaded'!$L$36=A473,1,0)</f>
        <v>0</v>
      </c>
      <c r="S473">
        <f>IF('Perso Reloaded'!$L$37=A473,1,0)</f>
        <v>0</v>
      </c>
      <c r="T473">
        <f t="shared" si="39"/>
        <v>0</v>
      </c>
      <c r="U473" t="b">
        <f t="shared" si="38"/>
        <v>0</v>
      </c>
    </row>
    <row r="474" spans="1:21" x14ac:dyDescent="0.3">
      <c r="A474" s="65" t="s">
        <v>1410</v>
      </c>
      <c r="B474">
        <f>IF(AtoutsHandicapsMatos!$N$5=A474,1,0)</f>
        <v>0</v>
      </c>
      <c r="C474">
        <f>IF(AtoutsHandicapsMatos!$N$6=A474,1,0)</f>
        <v>0</v>
      </c>
      <c r="D474">
        <f>IF(AtoutsHandicapsMatos!$N$7=A474,1,0)</f>
        <v>0</v>
      </c>
      <c r="E474">
        <f>IF(AtoutsHandicapsMatos!$N$8=A474,1,0)</f>
        <v>0</v>
      </c>
      <c r="F474">
        <f>IF(AtoutsHandicapsMatos!$N$9=A474,1,0)</f>
        <v>0</v>
      </c>
      <c r="G474">
        <f>IF(AtoutsHandicapsMatos!$O$10=A474,1,0)</f>
        <v>0</v>
      </c>
      <c r="H474">
        <f>IF(AtoutsHandicapsMatos!$O$11=A474,1,0)</f>
        <v>0</v>
      </c>
      <c r="I474">
        <f>IF(AtoutsHandicapsMatos!$O$12=A474,1,0)</f>
        <v>0</v>
      </c>
      <c r="J474">
        <f>IF(AtoutsHandicapsMatos!$N$13=A474,1,0)</f>
        <v>0</v>
      </c>
      <c r="K474">
        <f>IF(AtoutsHandicapsMatos!$N$14=A474,1,0)</f>
        <v>0</v>
      </c>
      <c r="L474">
        <f>IF('Perso Reloaded'!$L$30=A474,1,0)</f>
        <v>0</v>
      </c>
      <c r="M474">
        <f>IF('Perso Reloaded'!$L$31=A474,1,0)</f>
        <v>0</v>
      </c>
      <c r="N474">
        <f>IF('Perso Reloaded'!$L$32=A474,1,0)</f>
        <v>0</v>
      </c>
      <c r="O474">
        <f>IF('Perso Reloaded'!$L$33=A474,1,0)</f>
        <v>0</v>
      </c>
      <c r="P474">
        <f>IF('Perso Reloaded'!$L$34=A474,1,0)</f>
        <v>0</v>
      </c>
      <c r="Q474">
        <f>IF('Perso Reloaded'!$L$35=A474,1,0)</f>
        <v>0</v>
      </c>
      <c r="R474">
        <f>IF('Perso Reloaded'!$L$36=A474,1,0)</f>
        <v>0</v>
      </c>
      <c r="S474">
        <f>IF('Perso Reloaded'!$L$37=A474,1,0)</f>
        <v>0</v>
      </c>
      <c r="T474">
        <f t="shared" si="39"/>
        <v>0</v>
      </c>
      <c r="U474" t="b">
        <f t="shared" si="38"/>
        <v>0</v>
      </c>
    </row>
    <row r="475" spans="1:21" x14ac:dyDescent="0.3">
      <c r="A475" s="65" t="s">
        <v>250</v>
      </c>
      <c r="B475">
        <f>IF(AtoutsHandicapsMatos!$N$5=A475,1,0)</f>
        <v>0</v>
      </c>
      <c r="C475">
        <f>IF(AtoutsHandicapsMatos!$N$6=A475,1,0)</f>
        <v>0</v>
      </c>
      <c r="D475">
        <f>IF(AtoutsHandicapsMatos!$N$7=A475,1,0)</f>
        <v>0</v>
      </c>
      <c r="E475">
        <f>IF(AtoutsHandicapsMatos!$N$8=A475,1,0)</f>
        <v>0</v>
      </c>
      <c r="F475">
        <f>IF(AtoutsHandicapsMatos!$N$9=A475,1,0)</f>
        <v>0</v>
      </c>
      <c r="G475">
        <f>IF(AtoutsHandicapsMatos!$O$10=A475,1,0)</f>
        <v>0</v>
      </c>
      <c r="H475">
        <f>IF(AtoutsHandicapsMatos!$O$11=A475,1,0)</f>
        <v>0</v>
      </c>
      <c r="I475">
        <f>IF(AtoutsHandicapsMatos!$O$12=A475,1,0)</f>
        <v>0</v>
      </c>
      <c r="J475">
        <f>IF(AtoutsHandicapsMatos!$N$13=A475,1,0)</f>
        <v>0</v>
      </c>
      <c r="K475">
        <f>IF(AtoutsHandicapsMatos!$N$14=A475,1,0)</f>
        <v>0</v>
      </c>
      <c r="L475">
        <f>IF('Perso Reloaded'!$L$30=A475,1,0)</f>
        <v>0</v>
      </c>
      <c r="M475">
        <f>IF('Perso Reloaded'!$L$31=A475,1,0)</f>
        <v>0</v>
      </c>
      <c r="N475">
        <f>IF('Perso Reloaded'!$L$32=A475,1,0)</f>
        <v>0</v>
      </c>
      <c r="O475">
        <f>IF('Perso Reloaded'!$L$33=A475,1,0)</f>
        <v>0</v>
      </c>
      <c r="P475">
        <f>IF('Perso Reloaded'!$L$34=A475,1,0)</f>
        <v>0</v>
      </c>
      <c r="Q475">
        <f>IF('Perso Reloaded'!$L$35=A475,1,0)</f>
        <v>0</v>
      </c>
      <c r="R475">
        <f>IF('Perso Reloaded'!$L$36=A475,1,0)</f>
        <v>0</v>
      </c>
      <c r="S475">
        <f>IF('Perso Reloaded'!$L$37=A475,1,0)</f>
        <v>0</v>
      </c>
      <c r="T475">
        <f t="shared" si="39"/>
        <v>0</v>
      </c>
      <c r="U475" t="b">
        <f t="shared" si="38"/>
        <v>0</v>
      </c>
    </row>
    <row r="476" spans="1:21" x14ac:dyDescent="0.3">
      <c r="A476" s="65" t="s">
        <v>251</v>
      </c>
      <c r="B476">
        <f>IF(AtoutsHandicapsMatos!$N$5=A476,1,0)</f>
        <v>0</v>
      </c>
      <c r="C476">
        <f>IF(AtoutsHandicapsMatos!$N$6=A476,1,0)</f>
        <v>0</v>
      </c>
      <c r="D476">
        <f>IF(AtoutsHandicapsMatos!$N$7=A476,1,0)</f>
        <v>0</v>
      </c>
      <c r="E476">
        <f>IF(AtoutsHandicapsMatos!$N$8=A476,1,0)</f>
        <v>0</v>
      </c>
      <c r="F476">
        <f>IF(AtoutsHandicapsMatos!$N$9=A476,1,0)</f>
        <v>0</v>
      </c>
      <c r="G476">
        <f>IF(AtoutsHandicapsMatos!$O$10=A476,1,0)</f>
        <v>0</v>
      </c>
      <c r="H476">
        <f>IF(AtoutsHandicapsMatos!$O$11=A476,1,0)</f>
        <v>0</v>
      </c>
      <c r="I476">
        <f>IF(AtoutsHandicapsMatos!$O$12=A476,1,0)</f>
        <v>0</v>
      </c>
      <c r="J476">
        <f>IF(AtoutsHandicapsMatos!$N$13=A476,1,0)</f>
        <v>0</v>
      </c>
      <c r="K476">
        <f>IF(AtoutsHandicapsMatos!$N$14=A476,1,0)</f>
        <v>0</v>
      </c>
      <c r="L476">
        <f>IF('Perso Reloaded'!$L$30=A476,1,0)</f>
        <v>0</v>
      </c>
      <c r="M476">
        <f>IF('Perso Reloaded'!$L$31=A476,1,0)</f>
        <v>0</v>
      </c>
      <c r="N476">
        <f>IF('Perso Reloaded'!$L$32=A476,1,0)</f>
        <v>0</v>
      </c>
      <c r="O476">
        <f>IF('Perso Reloaded'!$L$33=A476,1,0)</f>
        <v>0</v>
      </c>
      <c r="P476">
        <f>IF('Perso Reloaded'!$L$34=A476,1,0)</f>
        <v>0</v>
      </c>
      <c r="Q476">
        <f>IF('Perso Reloaded'!$L$35=A476,1,0)</f>
        <v>0</v>
      </c>
      <c r="R476">
        <f>IF('Perso Reloaded'!$L$36=A476,1,0)</f>
        <v>0</v>
      </c>
      <c r="S476">
        <f>IF('Perso Reloaded'!$L$37=A476,1,0)</f>
        <v>0</v>
      </c>
      <c r="T476">
        <f t="shared" si="39"/>
        <v>0</v>
      </c>
      <c r="U476" t="b">
        <f t="shared" si="38"/>
        <v>0</v>
      </c>
    </row>
    <row r="477" spans="1:21" x14ac:dyDescent="0.3">
      <c r="A477" s="65" t="s">
        <v>3654</v>
      </c>
      <c r="B477">
        <f>IF(AtoutsHandicapsMatos!$N$5=A477,1,0)</f>
        <v>0</v>
      </c>
      <c r="C477">
        <f>IF(AtoutsHandicapsMatos!$N$6=A477,1,0)</f>
        <v>0</v>
      </c>
      <c r="D477">
        <f>IF(AtoutsHandicapsMatos!$N$7=A477,1,0)</f>
        <v>0</v>
      </c>
      <c r="E477">
        <f>IF(AtoutsHandicapsMatos!$N$8=A477,1,0)</f>
        <v>0</v>
      </c>
      <c r="F477">
        <f>IF(AtoutsHandicapsMatos!$N$9=A477,1,0)</f>
        <v>0</v>
      </c>
      <c r="G477">
        <f>IF(AtoutsHandicapsMatos!$O$10=A477,1,0)</f>
        <v>0</v>
      </c>
      <c r="H477">
        <f>IF(AtoutsHandicapsMatos!$O$11=A477,1,0)</f>
        <v>0</v>
      </c>
      <c r="I477">
        <f>IF(AtoutsHandicapsMatos!$O$12=A477,1,0)</f>
        <v>0</v>
      </c>
      <c r="J477">
        <f>IF(AtoutsHandicapsMatos!$N$13=A477,1,0)</f>
        <v>0</v>
      </c>
      <c r="K477">
        <f>IF(AtoutsHandicapsMatos!$N$14=A477,1,0)</f>
        <v>0</v>
      </c>
      <c r="L477">
        <f>IF('Perso Reloaded'!$L$30=A477,1,0)</f>
        <v>0</v>
      </c>
      <c r="M477">
        <f>IF('Perso Reloaded'!$L$31=A477,1,0)</f>
        <v>0</v>
      </c>
      <c r="N477">
        <f>IF('Perso Reloaded'!$L$32=A477,1,0)</f>
        <v>0</v>
      </c>
      <c r="O477">
        <f>IF('Perso Reloaded'!$L$33=A477,1,0)</f>
        <v>0</v>
      </c>
      <c r="P477">
        <f>IF('Perso Reloaded'!$L$34=A477,1,0)</f>
        <v>0</v>
      </c>
      <c r="Q477">
        <f>IF('Perso Reloaded'!$L$35=A477,1,0)</f>
        <v>0</v>
      </c>
      <c r="R477">
        <f>IF('Perso Reloaded'!$L$36=A477,1,0)</f>
        <v>0</v>
      </c>
      <c r="S477">
        <f>IF('Perso Reloaded'!$L$37=A477,1,0)</f>
        <v>0</v>
      </c>
      <c r="T477">
        <f t="shared" si="39"/>
        <v>0</v>
      </c>
      <c r="U477" t="b">
        <f t="shared" si="38"/>
        <v>0</v>
      </c>
    </row>
    <row r="478" spans="1:21" x14ac:dyDescent="0.3">
      <c r="A478" s="65" t="s">
        <v>4787</v>
      </c>
      <c r="B478">
        <f>IF(AtoutsHandicapsMatos!$N$5=A478,1,0)</f>
        <v>0</v>
      </c>
      <c r="C478">
        <f>IF(AtoutsHandicapsMatos!$N$6=A478,1,0)</f>
        <v>0</v>
      </c>
      <c r="D478">
        <f>IF(AtoutsHandicapsMatos!$N$7=A478,1,0)</f>
        <v>0</v>
      </c>
      <c r="E478">
        <f>IF(AtoutsHandicapsMatos!$N$8=A478,1,0)</f>
        <v>0</v>
      </c>
      <c r="F478">
        <f>IF(AtoutsHandicapsMatos!$N$9=A478,1,0)</f>
        <v>0</v>
      </c>
      <c r="G478">
        <f>IF(AtoutsHandicapsMatos!$O$10=A478,1,0)</f>
        <v>0</v>
      </c>
      <c r="H478">
        <f>IF(AtoutsHandicapsMatos!$O$11=A478,1,0)</f>
        <v>0</v>
      </c>
      <c r="I478">
        <f>IF(AtoutsHandicapsMatos!$O$12=A478,1,0)</f>
        <v>0</v>
      </c>
      <c r="J478">
        <f>IF(AtoutsHandicapsMatos!$N$13=A478,1,0)</f>
        <v>0</v>
      </c>
      <c r="K478">
        <f>IF(AtoutsHandicapsMatos!$N$14=A478,1,0)</f>
        <v>0</v>
      </c>
      <c r="L478">
        <f>IF('Perso Reloaded'!$L$30=A478,1,0)</f>
        <v>0</v>
      </c>
      <c r="M478">
        <f>IF('Perso Reloaded'!$L$31=A478,1,0)</f>
        <v>0</v>
      </c>
      <c r="N478">
        <f>IF('Perso Reloaded'!$L$32=A478,1,0)</f>
        <v>0</v>
      </c>
      <c r="O478">
        <f>IF('Perso Reloaded'!$L$33=A478,1,0)</f>
        <v>0</v>
      </c>
      <c r="P478">
        <f>IF('Perso Reloaded'!$L$34=A478,1,0)</f>
        <v>0</v>
      </c>
      <c r="Q478">
        <f>IF('Perso Reloaded'!$L$35=A478,1,0)</f>
        <v>0</v>
      </c>
      <c r="R478">
        <f>IF('Perso Reloaded'!$L$36=A478,1,0)</f>
        <v>0</v>
      </c>
      <c r="S478">
        <f>IF('Perso Reloaded'!$L$37=A478,1,0)</f>
        <v>0</v>
      </c>
      <c r="T478">
        <f t="shared" si="39"/>
        <v>0</v>
      </c>
      <c r="U478" t="b">
        <f t="shared" si="38"/>
        <v>0</v>
      </c>
    </row>
    <row r="479" spans="1:21" x14ac:dyDescent="0.3">
      <c r="A479" s="65" t="s">
        <v>4788</v>
      </c>
      <c r="B479">
        <f>IF(AtoutsHandicapsMatos!$N$5=A479,1,0)</f>
        <v>0</v>
      </c>
      <c r="C479">
        <f>IF(AtoutsHandicapsMatos!$N$6=A479,1,0)</f>
        <v>0</v>
      </c>
      <c r="D479">
        <f>IF(AtoutsHandicapsMatos!$N$7=A479,1,0)</f>
        <v>0</v>
      </c>
      <c r="E479">
        <f>IF(AtoutsHandicapsMatos!$N$8=A479,1,0)</f>
        <v>0</v>
      </c>
      <c r="F479">
        <f>IF(AtoutsHandicapsMatos!$N$9=A479,1,0)</f>
        <v>0</v>
      </c>
      <c r="G479">
        <f>IF(AtoutsHandicapsMatos!$O$10=A479,1,0)</f>
        <v>0</v>
      </c>
      <c r="H479">
        <f>IF(AtoutsHandicapsMatos!$O$11=A479,1,0)</f>
        <v>0</v>
      </c>
      <c r="I479">
        <f>IF(AtoutsHandicapsMatos!$O$12=A479,1,0)</f>
        <v>0</v>
      </c>
      <c r="J479">
        <f>IF(AtoutsHandicapsMatos!$N$13=A479,1,0)</f>
        <v>0</v>
      </c>
      <c r="K479">
        <f>IF(AtoutsHandicapsMatos!$N$14=A479,1,0)</f>
        <v>0</v>
      </c>
      <c r="L479">
        <f>IF('Perso Reloaded'!$L$30=A479,1,0)</f>
        <v>0</v>
      </c>
      <c r="M479">
        <f>IF('Perso Reloaded'!$L$31=A479,1,0)</f>
        <v>0</v>
      </c>
      <c r="N479">
        <f>IF('Perso Reloaded'!$L$32=A479,1,0)</f>
        <v>0</v>
      </c>
      <c r="O479">
        <f>IF('Perso Reloaded'!$L$33=A479,1,0)</f>
        <v>0</v>
      </c>
      <c r="P479">
        <f>IF('Perso Reloaded'!$L$34=A479,1,0)</f>
        <v>0</v>
      </c>
      <c r="Q479">
        <f>IF('Perso Reloaded'!$L$35=A479,1,0)</f>
        <v>0</v>
      </c>
      <c r="R479">
        <f>IF('Perso Reloaded'!$L$36=A479,1,0)</f>
        <v>0</v>
      </c>
      <c r="S479">
        <f>IF('Perso Reloaded'!$L$37=A479,1,0)</f>
        <v>0</v>
      </c>
      <c r="T479">
        <f t="shared" ref="T479" si="40">SUM(B479:S479)</f>
        <v>0</v>
      </c>
      <c r="U479" t="b">
        <f t="shared" ref="U479" si="41">IF(T479=0,FALSE,TRUE)</f>
        <v>0</v>
      </c>
    </row>
    <row r="480" spans="1:21" x14ac:dyDescent="0.3">
      <c r="A480" s="65" t="str">
        <f>IF(OR('Perso Classic'!$C$6="Féminin",SexePerso="Féminin"),"Paumée","Paumé")</f>
        <v>Paumé</v>
      </c>
      <c r="B480">
        <f>IF(AtoutsHandicapsMatos!$N$5=A480,1,0)</f>
        <v>0</v>
      </c>
      <c r="C480">
        <f>IF(AtoutsHandicapsMatos!$N$6=A480,1,0)</f>
        <v>0</v>
      </c>
      <c r="D480">
        <f>IF(AtoutsHandicapsMatos!$N$7=A480,1,0)</f>
        <v>0</v>
      </c>
      <c r="E480">
        <f>IF(AtoutsHandicapsMatos!$N$8=A480,1,0)</f>
        <v>0</v>
      </c>
      <c r="F480">
        <f>IF(AtoutsHandicapsMatos!$N$9=A480,1,0)</f>
        <v>0</v>
      </c>
      <c r="G480">
        <f>IF(AtoutsHandicapsMatos!$O$10=A480,1,0)</f>
        <v>0</v>
      </c>
      <c r="H480">
        <f>IF(AtoutsHandicapsMatos!$O$11=A480,1,0)</f>
        <v>0</v>
      </c>
      <c r="I480">
        <f>IF(AtoutsHandicapsMatos!$O$12=A480,1,0)</f>
        <v>0</v>
      </c>
      <c r="J480">
        <f>IF(AtoutsHandicapsMatos!$N$13=A480,1,0)</f>
        <v>0</v>
      </c>
      <c r="K480">
        <f>IF(AtoutsHandicapsMatos!$N$14=A480,1,0)</f>
        <v>0</v>
      </c>
      <c r="L480">
        <f>IF('Perso Reloaded'!$L$30=A480,1,0)</f>
        <v>0</v>
      </c>
      <c r="M480">
        <f>IF('Perso Reloaded'!$L$31=A480,1,0)</f>
        <v>0</v>
      </c>
      <c r="N480">
        <f>IF('Perso Reloaded'!$L$32=A480,1,0)</f>
        <v>0</v>
      </c>
      <c r="O480">
        <f>IF('Perso Reloaded'!$L$33=A480,1,0)</f>
        <v>0</v>
      </c>
      <c r="P480">
        <f>IF('Perso Reloaded'!$L$34=A480,1,0)</f>
        <v>0</v>
      </c>
      <c r="Q480">
        <f>IF('Perso Reloaded'!$L$35=A480,1,0)</f>
        <v>0</v>
      </c>
      <c r="R480">
        <f>IF('Perso Reloaded'!$L$36=A480,1,0)</f>
        <v>0</v>
      </c>
      <c r="S480">
        <f>IF('Perso Reloaded'!$L$37=A480,1,0)</f>
        <v>0</v>
      </c>
      <c r="T480">
        <f t="shared" si="39"/>
        <v>0</v>
      </c>
      <c r="U480" t="b">
        <f t="shared" si="38"/>
        <v>0</v>
      </c>
    </row>
    <row r="481" spans="1:21" x14ac:dyDescent="0.3">
      <c r="A481" s="65" t="str">
        <f>IF(OR('Perso Classic'!$C$6="Féminin",SexePerso="Féminin"),"Petite","Petit")</f>
        <v>Petit</v>
      </c>
      <c r="B481">
        <f>IF(AtoutsHandicapsMatos!$N$5=A481,1,0)</f>
        <v>0</v>
      </c>
      <c r="C481">
        <f>IF(AtoutsHandicapsMatos!$N$6=A481,1,0)</f>
        <v>0</v>
      </c>
      <c r="D481">
        <f>IF(AtoutsHandicapsMatos!$N$7=A481,1,0)</f>
        <v>0</v>
      </c>
      <c r="E481">
        <f>IF(AtoutsHandicapsMatos!$N$8=A481,1,0)</f>
        <v>0</v>
      </c>
      <c r="F481">
        <f>IF(AtoutsHandicapsMatos!$N$9=A481,1,0)</f>
        <v>0</v>
      </c>
      <c r="G481">
        <f>IF(AtoutsHandicapsMatos!$O$10=A481,1,0)</f>
        <v>0</v>
      </c>
      <c r="H481">
        <f>IF(AtoutsHandicapsMatos!$O$11=A481,1,0)</f>
        <v>0</v>
      </c>
      <c r="I481">
        <f>IF(AtoutsHandicapsMatos!$O$12=A481,1,0)</f>
        <v>0</v>
      </c>
      <c r="J481">
        <f>IF(AtoutsHandicapsMatos!$N$13=A481,1,0)</f>
        <v>0</v>
      </c>
      <c r="K481">
        <f>IF(AtoutsHandicapsMatos!$N$14=A481,1,0)</f>
        <v>0</v>
      </c>
      <c r="L481">
        <f>IF('Perso Reloaded'!$L$30=A481,1,0)</f>
        <v>0</v>
      </c>
      <c r="M481">
        <f>IF('Perso Reloaded'!$L$31=A481,1,0)</f>
        <v>0</v>
      </c>
      <c r="N481">
        <f>IF('Perso Reloaded'!$L$32=A481,1,0)</f>
        <v>0</v>
      </c>
      <c r="O481">
        <f>IF('Perso Reloaded'!$L$33=A481,1,0)</f>
        <v>0</v>
      </c>
      <c r="P481">
        <f>IF('Perso Reloaded'!$L$34=A481,1,0)</f>
        <v>0</v>
      </c>
      <c r="Q481">
        <f>IF('Perso Reloaded'!$L$35=A481,1,0)</f>
        <v>0</v>
      </c>
      <c r="R481">
        <f>IF('Perso Reloaded'!$L$36=A481,1,0)</f>
        <v>0</v>
      </c>
      <c r="S481">
        <f>IF('Perso Reloaded'!$L$37=A481,1,0)</f>
        <v>0</v>
      </c>
      <c r="T481">
        <f t="shared" ref="T481" si="42">SUM(B481:S481)</f>
        <v>0</v>
      </c>
      <c r="U481" t="b">
        <f t="shared" ref="U481" si="43">IF(T481=0,FALSE,TRUE)</f>
        <v>0</v>
      </c>
    </row>
    <row r="482" spans="1:21" x14ac:dyDescent="0.3">
      <c r="A482" s="65" t="s">
        <v>1411</v>
      </c>
      <c r="B482">
        <f>IF(AtoutsHandicapsMatos!$N$5=A482,1,0)</f>
        <v>0</v>
      </c>
      <c r="C482">
        <f>IF(AtoutsHandicapsMatos!$N$6=A482,1,0)</f>
        <v>0</v>
      </c>
      <c r="D482">
        <f>IF(AtoutsHandicapsMatos!$N$7=A482,1,0)</f>
        <v>0</v>
      </c>
      <c r="E482">
        <f>IF(AtoutsHandicapsMatos!$N$8=A482,1,0)</f>
        <v>0</v>
      </c>
      <c r="F482">
        <f>IF(AtoutsHandicapsMatos!$N$9=A482,1,0)</f>
        <v>0</v>
      </c>
      <c r="G482">
        <f>IF(AtoutsHandicapsMatos!$O$10=A482,1,0)</f>
        <v>0</v>
      </c>
      <c r="H482">
        <f>IF(AtoutsHandicapsMatos!$O$11=A482,1,0)</f>
        <v>0</v>
      </c>
      <c r="I482">
        <f>IF(AtoutsHandicapsMatos!$O$12=A482,1,0)</f>
        <v>0</v>
      </c>
      <c r="J482">
        <f>IF(AtoutsHandicapsMatos!$N$13=A482,1,0)</f>
        <v>0</v>
      </c>
      <c r="K482">
        <f>IF(AtoutsHandicapsMatos!$N$14=A482,1,0)</f>
        <v>0</v>
      </c>
      <c r="L482">
        <f>IF('Perso Reloaded'!$L$30=A482,1,0)</f>
        <v>0</v>
      </c>
      <c r="M482">
        <f>IF('Perso Reloaded'!$L$31=A482,1,0)</f>
        <v>0</v>
      </c>
      <c r="N482">
        <f>IF('Perso Reloaded'!$L$32=A482,1,0)</f>
        <v>0</v>
      </c>
      <c r="O482">
        <f>IF('Perso Reloaded'!$L$33=A482,1,0)</f>
        <v>0</v>
      </c>
      <c r="P482">
        <f>IF('Perso Reloaded'!$L$34=A482,1,0)</f>
        <v>0</v>
      </c>
      <c r="Q482">
        <f>IF('Perso Reloaded'!$L$35=A482,1,0)</f>
        <v>0</v>
      </c>
      <c r="R482">
        <f>IF('Perso Reloaded'!$L$36=A482,1,0)</f>
        <v>0</v>
      </c>
      <c r="S482">
        <f>IF('Perso Reloaded'!$L$37=A482,1,0)</f>
        <v>0</v>
      </c>
      <c r="T482">
        <f t="shared" si="39"/>
        <v>0</v>
      </c>
      <c r="U482" t="b">
        <f t="shared" si="38"/>
        <v>0</v>
      </c>
    </row>
    <row r="483" spans="1:21" x14ac:dyDescent="0.3">
      <c r="A483" s="65" t="s">
        <v>252</v>
      </c>
      <c r="B483">
        <f>IF(AtoutsHandicapsMatos!$N$5=A483,1,0)</f>
        <v>0</v>
      </c>
      <c r="C483">
        <f>IF(AtoutsHandicapsMatos!$N$6=A483,1,0)</f>
        <v>0</v>
      </c>
      <c r="D483">
        <f>IF(AtoutsHandicapsMatos!$N$7=A483,1,0)</f>
        <v>0</v>
      </c>
      <c r="E483">
        <f>IF(AtoutsHandicapsMatos!$N$8=A483,1,0)</f>
        <v>0</v>
      </c>
      <c r="F483">
        <f>IF(AtoutsHandicapsMatos!$N$9=A483,1,0)</f>
        <v>0</v>
      </c>
      <c r="G483">
        <f>IF(AtoutsHandicapsMatos!$O$10=A483,1,0)</f>
        <v>0</v>
      </c>
      <c r="H483">
        <f>IF(AtoutsHandicapsMatos!$O$11=A483,1,0)</f>
        <v>0</v>
      </c>
      <c r="I483">
        <f>IF(AtoutsHandicapsMatos!$O$12=A483,1,0)</f>
        <v>0</v>
      </c>
      <c r="J483">
        <f>IF(AtoutsHandicapsMatos!$N$13=A483,1,0)</f>
        <v>0</v>
      </c>
      <c r="K483">
        <f>IF(AtoutsHandicapsMatos!$N$14=A483,1,0)</f>
        <v>0</v>
      </c>
      <c r="L483">
        <f>IF('Perso Reloaded'!$L$30=A483,1,0)</f>
        <v>0</v>
      </c>
      <c r="M483">
        <f>IF('Perso Reloaded'!$L$31=A483,1,0)</f>
        <v>0</v>
      </c>
      <c r="N483">
        <f>IF('Perso Reloaded'!$L$32=A483,1,0)</f>
        <v>0</v>
      </c>
      <c r="O483">
        <f>IF('Perso Reloaded'!$L$33=A483,1,0)</f>
        <v>0</v>
      </c>
      <c r="P483">
        <f>IF('Perso Reloaded'!$L$34=A483,1,0)</f>
        <v>0</v>
      </c>
      <c r="Q483">
        <f>IF('Perso Reloaded'!$L$35=A483,1,0)</f>
        <v>0</v>
      </c>
      <c r="R483">
        <f>IF('Perso Reloaded'!$L$36=A483,1,0)</f>
        <v>0</v>
      </c>
      <c r="S483">
        <f>IF('Perso Reloaded'!$L$37=A483,1,0)</f>
        <v>0</v>
      </c>
      <c r="T483">
        <f t="shared" si="39"/>
        <v>0</v>
      </c>
      <c r="U483" t="b">
        <f t="shared" si="38"/>
        <v>0</v>
      </c>
    </row>
    <row r="484" spans="1:21" x14ac:dyDescent="0.3">
      <c r="A484" s="65" t="s">
        <v>4667</v>
      </c>
      <c r="B484">
        <f>IF(AtoutsHandicapsMatos!$N$5=A484,1,0)</f>
        <v>0</v>
      </c>
      <c r="C484">
        <f>IF(AtoutsHandicapsMatos!$N$6=A484,1,0)</f>
        <v>0</v>
      </c>
      <c r="D484">
        <f>IF(AtoutsHandicapsMatos!$N$7=A484,1,0)</f>
        <v>0</v>
      </c>
      <c r="E484">
        <f>IF(AtoutsHandicapsMatos!$N$8=A484,1,0)</f>
        <v>0</v>
      </c>
      <c r="F484">
        <f>IF(AtoutsHandicapsMatos!$N$9=A484,1,0)</f>
        <v>0</v>
      </c>
      <c r="G484">
        <f>IF(AtoutsHandicapsMatos!$O$10=A484,1,0)</f>
        <v>0</v>
      </c>
      <c r="H484">
        <f>IF(AtoutsHandicapsMatos!$O$11=A484,1,0)</f>
        <v>0</v>
      </c>
      <c r="I484">
        <f>IF(AtoutsHandicapsMatos!$O$12=A484,1,0)</f>
        <v>0</v>
      </c>
      <c r="J484">
        <f>IF(AtoutsHandicapsMatos!$N$13=A484,1,0)</f>
        <v>0</v>
      </c>
      <c r="K484">
        <f>IF(AtoutsHandicapsMatos!$N$14=A484,1,0)</f>
        <v>0</v>
      </c>
      <c r="L484">
        <f>IF('Perso Reloaded'!$L$30=A484,1,0)</f>
        <v>0</v>
      </c>
      <c r="M484">
        <f>IF('Perso Reloaded'!$L$31=A484,1,0)</f>
        <v>0</v>
      </c>
      <c r="N484">
        <f>IF('Perso Reloaded'!$L$32=A484,1,0)</f>
        <v>0</v>
      </c>
      <c r="O484">
        <f>IF('Perso Reloaded'!$L$33=A484,1,0)</f>
        <v>0</v>
      </c>
      <c r="P484">
        <f>IF('Perso Reloaded'!$L$34=A484,1,0)</f>
        <v>0</v>
      </c>
      <c r="Q484">
        <f>IF('Perso Reloaded'!$L$35=A484,1,0)</f>
        <v>0</v>
      </c>
      <c r="R484">
        <f>IF('Perso Reloaded'!$L$36=A484,1,0)</f>
        <v>0</v>
      </c>
      <c r="S484">
        <f>IF('Perso Reloaded'!$L$37=A484,1,0)</f>
        <v>0</v>
      </c>
      <c r="T484">
        <f t="shared" si="39"/>
        <v>0</v>
      </c>
      <c r="U484" t="b">
        <f t="shared" si="38"/>
        <v>0</v>
      </c>
    </row>
    <row r="485" spans="1:21" x14ac:dyDescent="0.3">
      <c r="A485" s="65" t="str">
        <f>IF(OR('Perso Classic'!$C$6="Féminin",SexePerso="Féminin"),"Pitoyable Menteuse/Les Yeux du Menteur","Pitoyable Menteur/Les Yeux du Menteur")</f>
        <v>Pitoyable Menteur/Les Yeux du Menteur</v>
      </c>
      <c r="B485">
        <f>IF(AtoutsHandicapsMatos!$N$5=A485,1,0)</f>
        <v>0</v>
      </c>
      <c r="C485">
        <f>IF(AtoutsHandicapsMatos!$N$6=A485,1,0)</f>
        <v>0</v>
      </c>
      <c r="D485">
        <f>IF(AtoutsHandicapsMatos!$N$7=A485,1,0)</f>
        <v>0</v>
      </c>
      <c r="E485">
        <f>IF(AtoutsHandicapsMatos!$N$8=A485,1,0)</f>
        <v>0</v>
      </c>
      <c r="F485">
        <f>IF(AtoutsHandicapsMatos!$N$9=A485,1,0)</f>
        <v>0</v>
      </c>
      <c r="G485">
        <f>IF(AtoutsHandicapsMatos!$O$10=A485,1,0)</f>
        <v>0</v>
      </c>
      <c r="H485">
        <f>IF(AtoutsHandicapsMatos!$O$11=A485,1,0)</f>
        <v>0</v>
      </c>
      <c r="I485">
        <f>IF(AtoutsHandicapsMatos!$O$12=A485,1,0)</f>
        <v>0</v>
      </c>
      <c r="J485">
        <f>IF(AtoutsHandicapsMatos!$N$13=A485,1,0)</f>
        <v>0</v>
      </c>
      <c r="K485">
        <f>IF(AtoutsHandicapsMatos!$N$14=A485,1,0)</f>
        <v>0</v>
      </c>
      <c r="L485">
        <f>IF('Perso Reloaded'!$L$30=A485,1,0)</f>
        <v>0</v>
      </c>
      <c r="M485">
        <f>IF('Perso Reloaded'!$L$31=A485,1,0)</f>
        <v>0</v>
      </c>
      <c r="N485">
        <f>IF('Perso Reloaded'!$L$32=A485,1,0)</f>
        <v>0</v>
      </c>
      <c r="O485">
        <f>IF('Perso Reloaded'!$L$33=A485,1,0)</f>
        <v>0</v>
      </c>
      <c r="P485">
        <f>IF('Perso Reloaded'!$L$34=A485,1,0)</f>
        <v>0</v>
      </c>
      <c r="Q485">
        <f>IF('Perso Reloaded'!$L$35=A485,1,0)</f>
        <v>0</v>
      </c>
      <c r="R485">
        <f>IF('Perso Reloaded'!$L$36=A485,1,0)</f>
        <v>0</v>
      </c>
      <c r="S485">
        <f>IF('Perso Reloaded'!$L$37=A485,1,0)</f>
        <v>0</v>
      </c>
      <c r="T485">
        <f t="shared" si="39"/>
        <v>0</v>
      </c>
      <c r="U485" t="b">
        <f t="shared" si="38"/>
        <v>0</v>
      </c>
    </row>
    <row r="486" spans="1:21" x14ac:dyDescent="0.3">
      <c r="A486" s="65" t="s">
        <v>4303</v>
      </c>
      <c r="B486">
        <f>IF(AtoutsHandicapsMatos!$N$5=A486,1,0)</f>
        <v>0</v>
      </c>
      <c r="C486">
        <f>IF(AtoutsHandicapsMatos!$N$6=A486,1,0)</f>
        <v>0</v>
      </c>
      <c r="D486">
        <f>IF(AtoutsHandicapsMatos!$N$7=A486,1,0)</f>
        <v>0</v>
      </c>
      <c r="E486">
        <f>IF(AtoutsHandicapsMatos!$N$8=A486,1,0)</f>
        <v>0</v>
      </c>
      <c r="F486">
        <f>IF(AtoutsHandicapsMatos!$N$9=A486,1,0)</f>
        <v>0</v>
      </c>
      <c r="G486">
        <f>IF(AtoutsHandicapsMatos!$O$10=A486,1,0)</f>
        <v>0</v>
      </c>
      <c r="H486">
        <f>IF(AtoutsHandicapsMatos!$O$11=A486,1,0)</f>
        <v>0</v>
      </c>
      <c r="I486">
        <f>IF(AtoutsHandicapsMatos!$O$12=A486,1,0)</f>
        <v>0</v>
      </c>
      <c r="J486">
        <f>IF(AtoutsHandicapsMatos!$N$13=A486,1,0)</f>
        <v>0</v>
      </c>
      <c r="K486">
        <f>IF(AtoutsHandicapsMatos!$N$14=A486,1,0)</f>
        <v>0</v>
      </c>
      <c r="L486">
        <f>IF('Perso Reloaded'!$L$30=A486,1,0)</f>
        <v>0</v>
      </c>
      <c r="M486">
        <f>IF('Perso Reloaded'!$L$31=A486,1,0)</f>
        <v>0</v>
      </c>
      <c r="N486">
        <f>IF('Perso Reloaded'!$L$32=A486,1,0)</f>
        <v>0</v>
      </c>
      <c r="O486">
        <f>IF('Perso Reloaded'!$L$33=A486,1,0)</f>
        <v>0</v>
      </c>
      <c r="P486">
        <f>IF('Perso Reloaded'!$L$34=A486,1,0)</f>
        <v>0</v>
      </c>
      <c r="Q486">
        <f>IF('Perso Reloaded'!$L$35=A486,1,0)</f>
        <v>0</v>
      </c>
      <c r="R486">
        <f>IF('Perso Reloaded'!$L$36=A486,1,0)</f>
        <v>0</v>
      </c>
      <c r="S486">
        <f>IF('Perso Reloaded'!$L$37=A486,1,0)</f>
        <v>0</v>
      </c>
      <c r="T486">
        <f t="shared" ref="T486" si="44">SUM(B486:S486)</f>
        <v>0</v>
      </c>
      <c r="U486" t="b">
        <f t="shared" ref="U486" si="45">IF(T486=0,FALSE,TRUE)</f>
        <v>0</v>
      </c>
    </row>
    <row r="487" spans="1:21" x14ac:dyDescent="0.3">
      <c r="A487" s="65" t="str">
        <f>IF(OR('Perso Classic'!$C$6="Féminin",SexePerso="Féminin"),"Précautionneuse/Prudente","Précautionneux/Prudent")</f>
        <v>Précautionneux/Prudent</v>
      </c>
      <c r="B487">
        <f>IF(AtoutsHandicapsMatos!$N$5=A487,1,0)</f>
        <v>0</v>
      </c>
      <c r="C487">
        <f>IF(AtoutsHandicapsMatos!$N$6=A487,1,0)</f>
        <v>0</v>
      </c>
      <c r="D487">
        <f>IF(AtoutsHandicapsMatos!$N$7=A487,1,0)</f>
        <v>0</v>
      </c>
      <c r="E487">
        <f>IF(AtoutsHandicapsMatos!$N$8=A487,1,0)</f>
        <v>0</v>
      </c>
      <c r="F487">
        <f>IF(AtoutsHandicapsMatos!$N$9=A487,1,0)</f>
        <v>0</v>
      </c>
      <c r="G487">
        <f>IF(AtoutsHandicapsMatos!$O$10=A487,1,0)</f>
        <v>0</v>
      </c>
      <c r="H487">
        <f>IF(AtoutsHandicapsMatos!$O$11=A487,1,0)</f>
        <v>0</v>
      </c>
      <c r="I487">
        <f>IF(AtoutsHandicapsMatos!$O$12=A487,1,0)</f>
        <v>0</v>
      </c>
      <c r="J487">
        <f>IF(AtoutsHandicapsMatos!$N$13=A487,1,0)</f>
        <v>0</v>
      </c>
      <c r="K487">
        <f>IF(AtoutsHandicapsMatos!$N$14=A487,1,0)</f>
        <v>0</v>
      </c>
      <c r="L487">
        <f>IF('Perso Reloaded'!$L$30=A487,1,0)</f>
        <v>0</v>
      </c>
      <c r="M487">
        <f>IF('Perso Reloaded'!$L$31=A487,1,0)</f>
        <v>0</v>
      </c>
      <c r="N487">
        <f>IF('Perso Reloaded'!$L$32=A487,1,0)</f>
        <v>0</v>
      </c>
      <c r="O487">
        <f>IF('Perso Reloaded'!$L$33=A487,1,0)</f>
        <v>0</v>
      </c>
      <c r="P487">
        <f>IF('Perso Reloaded'!$L$34=A487,1,0)</f>
        <v>0</v>
      </c>
      <c r="Q487">
        <f>IF('Perso Reloaded'!$L$35=A487,1,0)</f>
        <v>0</v>
      </c>
      <c r="R487">
        <f>IF('Perso Reloaded'!$L$36=A487,1,0)</f>
        <v>0</v>
      </c>
      <c r="S487">
        <f>IF('Perso Reloaded'!$L$37=A487,1,0)</f>
        <v>0</v>
      </c>
      <c r="T487">
        <f t="shared" si="39"/>
        <v>0</v>
      </c>
      <c r="U487" t="b">
        <f t="shared" si="38"/>
        <v>0</v>
      </c>
    </row>
    <row r="488" spans="1:21" x14ac:dyDescent="0.3">
      <c r="A488" s="65" t="str">
        <f>IF(OR('Perso Classic'!$C$6="Féminin",SexePerso="Féminin"),"Puante","Puant")</f>
        <v>Puant</v>
      </c>
      <c r="B488">
        <f>IF(AtoutsHandicapsMatos!$N$5=A488,1,0)</f>
        <v>0</v>
      </c>
      <c r="C488">
        <f>IF(AtoutsHandicapsMatos!$N$6=A488,1,0)</f>
        <v>0</v>
      </c>
      <c r="D488">
        <f>IF(AtoutsHandicapsMatos!$N$7=A488,1,0)</f>
        <v>0</v>
      </c>
      <c r="E488">
        <f>IF(AtoutsHandicapsMatos!$N$8=A488,1,0)</f>
        <v>0</v>
      </c>
      <c r="F488">
        <f>IF(AtoutsHandicapsMatos!$N$9=A488,1,0)</f>
        <v>0</v>
      </c>
      <c r="G488">
        <f>IF(AtoutsHandicapsMatos!$O$10=A488,1,0)</f>
        <v>0</v>
      </c>
      <c r="H488">
        <f>IF(AtoutsHandicapsMatos!$O$11=A488,1,0)</f>
        <v>0</v>
      </c>
      <c r="I488">
        <f>IF(AtoutsHandicapsMatos!$O$12=A488,1,0)</f>
        <v>0</v>
      </c>
      <c r="J488">
        <f>IF(AtoutsHandicapsMatos!$N$13=A488,1,0)</f>
        <v>0</v>
      </c>
      <c r="K488">
        <f>IF(AtoutsHandicapsMatos!$N$14=A488,1,0)</f>
        <v>0</v>
      </c>
      <c r="L488">
        <f>IF('Perso Reloaded'!$L$30=A488,1,0)</f>
        <v>0</v>
      </c>
      <c r="M488">
        <f>IF('Perso Reloaded'!$L$31=A488,1,0)</f>
        <v>0</v>
      </c>
      <c r="N488">
        <f>IF('Perso Reloaded'!$L$32=A488,1,0)</f>
        <v>0</v>
      </c>
      <c r="O488">
        <f>IF('Perso Reloaded'!$L$33=A488,1,0)</f>
        <v>0</v>
      </c>
      <c r="P488">
        <f>IF('Perso Reloaded'!$L$34=A488,1,0)</f>
        <v>0</v>
      </c>
      <c r="Q488">
        <f>IF('Perso Reloaded'!$L$35=A488,1,0)</f>
        <v>0</v>
      </c>
      <c r="R488">
        <f>IF('Perso Reloaded'!$L$36=A488,1,0)</f>
        <v>0</v>
      </c>
      <c r="S488">
        <f>IF('Perso Reloaded'!$L$37=A488,1,0)</f>
        <v>0</v>
      </c>
      <c r="T488">
        <f t="shared" si="39"/>
        <v>0</v>
      </c>
      <c r="U488" t="b">
        <f t="shared" si="38"/>
        <v>0</v>
      </c>
    </row>
    <row r="489" spans="1:21" x14ac:dyDescent="0.3">
      <c r="A489" s="65" t="str">
        <f>IF(OR('Perso Classic'!$C$6="Féminin",SexePerso="Féminin"),"Qui c'est la plus forte? (défis rares)","Qui c'est le plus fort? (défis rares)")</f>
        <v>Qui c'est le plus fort? (défis rares)</v>
      </c>
      <c r="B489">
        <f>IF(AtoutsHandicapsMatos!$N$5=A489,1,0)</f>
        <v>0</v>
      </c>
      <c r="C489">
        <f>IF(AtoutsHandicapsMatos!$N$6=A489,1,0)</f>
        <v>0</v>
      </c>
      <c r="D489">
        <f>IF(AtoutsHandicapsMatos!$N$7=A489,1,0)</f>
        <v>0</v>
      </c>
      <c r="E489">
        <f>IF(AtoutsHandicapsMatos!$N$8=A489,1,0)</f>
        <v>0</v>
      </c>
      <c r="F489">
        <f>IF(AtoutsHandicapsMatos!$N$9=A489,1,0)</f>
        <v>0</v>
      </c>
      <c r="G489">
        <f>IF(AtoutsHandicapsMatos!$O$10=A489,1,0)</f>
        <v>0</v>
      </c>
      <c r="H489">
        <f>IF(AtoutsHandicapsMatos!$O$11=A489,1,0)</f>
        <v>0</v>
      </c>
      <c r="I489">
        <f>IF(AtoutsHandicapsMatos!$O$12=A489,1,0)</f>
        <v>0</v>
      </c>
      <c r="J489">
        <f>IF(AtoutsHandicapsMatos!$N$13=A489,1,0)</f>
        <v>0</v>
      </c>
      <c r="K489">
        <f>IF(AtoutsHandicapsMatos!$N$14=A489,1,0)</f>
        <v>0</v>
      </c>
      <c r="L489">
        <f>IF('Perso Reloaded'!$L$30=A489,1,0)</f>
        <v>0</v>
      </c>
      <c r="M489">
        <f>IF('Perso Reloaded'!$L$31=A489,1,0)</f>
        <v>0</v>
      </c>
      <c r="N489">
        <f>IF('Perso Reloaded'!$L$32=A489,1,0)</f>
        <v>0</v>
      </c>
      <c r="O489">
        <f>IF('Perso Reloaded'!$L$33=A489,1,0)</f>
        <v>0</v>
      </c>
      <c r="P489">
        <f>IF('Perso Reloaded'!$L$34=A489,1,0)</f>
        <v>0</v>
      </c>
      <c r="Q489">
        <f>IF('Perso Reloaded'!$L$35=A489,1,0)</f>
        <v>0</v>
      </c>
      <c r="R489">
        <f>IF('Perso Reloaded'!$L$36=A489,1,0)</f>
        <v>0</v>
      </c>
      <c r="S489">
        <f>IF('Perso Reloaded'!$L$37=A489,1,0)</f>
        <v>0</v>
      </c>
      <c r="T489">
        <f t="shared" si="39"/>
        <v>0</v>
      </c>
      <c r="U489" t="b">
        <f t="shared" si="38"/>
        <v>0</v>
      </c>
    </row>
    <row r="490" spans="1:21" x14ac:dyDescent="0.3">
      <c r="A490" s="65" t="str">
        <f>IF(OR('Perso Classic'!$C$6="Féminin",SexePerso="Féminin"),"Qui c'est la plus forte? (défis courants)","Qui c'est le plus fort? (défis courants)")</f>
        <v>Qui c'est le plus fort? (défis courants)</v>
      </c>
      <c r="B490">
        <f>IF(AtoutsHandicapsMatos!$N$5=A490,1,0)</f>
        <v>0</v>
      </c>
      <c r="C490">
        <f>IF(AtoutsHandicapsMatos!$N$6=A490,1,0)</f>
        <v>0</v>
      </c>
      <c r="D490">
        <f>IF(AtoutsHandicapsMatos!$N$7=A490,1,0)</f>
        <v>0</v>
      </c>
      <c r="E490">
        <f>IF(AtoutsHandicapsMatos!$N$8=A490,1,0)</f>
        <v>0</v>
      </c>
      <c r="F490">
        <f>IF(AtoutsHandicapsMatos!$N$9=A490,1,0)</f>
        <v>0</v>
      </c>
      <c r="G490">
        <f>IF(AtoutsHandicapsMatos!$O$10=A490,1,0)</f>
        <v>0</v>
      </c>
      <c r="H490">
        <f>IF(AtoutsHandicapsMatos!$O$11=A490,1,0)</f>
        <v>0</v>
      </c>
      <c r="I490">
        <f>IF(AtoutsHandicapsMatos!$O$12=A490,1,0)</f>
        <v>0</v>
      </c>
      <c r="J490">
        <f>IF(AtoutsHandicapsMatos!$N$13=A490,1,0)</f>
        <v>0</v>
      </c>
      <c r="K490">
        <f>IF(AtoutsHandicapsMatos!$N$14=A490,1,0)</f>
        <v>0</v>
      </c>
      <c r="L490">
        <f>IF('Perso Reloaded'!$L$30=A490,1,0)</f>
        <v>0</v>
      </c>
      <c r="M490">
        <f>IF('Perso Reloaded'!$L$31=A490,1,0)</f>
        <v>0</v>
      </c>
      <c r="N490">
        <f>IF('Perso Reloaded'!$L$32=A490,1,0)</f>
        <v>0</v>
      </c>
      <c r="O490">
        <f>IF('Perso Reloaded'!$L$33=A490,1,0)</f>
        <v>0</v>
      </c>
      <c r="P490">
        <f>IF('Perso Reloaded'!$L$34=A490,1,0)</f>
        <v>0</v>
      </c>
      <c r="Q490">
        <f>IF('Perso Reloaded'!$L$35=A490,1,0)</f>
        <v>0</v>
      </c>
      <c r="R490">
        <f>IF('Perso Reloaded'!$L$36=A490,1,0)</f>
        <v>0</v>
      </c>
      <c r="S490">
        <f>IF('Perso Reloaded'!$L$37=A490,1,0)</f>
        <v>0</v>
      </c>
      <c r="T490">
        <f t="shared" si="39"/>
        <v>0</v>
      </c>
      <c r="U490" t="b">
        <f t="shared" si="38"/>
        <v>0</v>
      </c>
    </row>
    <row r="491" spans="1:21" x14ac:dyDescent="0.3">
      <c r="A491" s="65" t="str">
        <f>IF(OR('Perso Classic'!$C$6="Féminin",SexePerso="Féminin"),"Qui c'est la plus forte? (incontrôlable)","Qui c'est le plus fort? (incontrôlable)")</f>
        <v>Qui c'est le plus fort? (incontrôlable)</v>
      </c>
      <c r="B491">
        <f>IF(AtoutsHandicapsMatos!$N$5=A491,1,0)</f>
        <v>0</v>
      </c>
      <c r="C491">
        <f>IF(AtoutsHandicapsMatos!$N$6=A491,1,0)</f>
        <v>0</v>
      </c>
      <c r="D491">
        <f>IF(AtoutsHandicapsMatos!$N$7=A491,1,0)</f>
        <v>0</v>
      </c>
      <c r="E491">
        <f>IF(AtoutsHandicapsMatos!$N$8=A491,1,0)</f>
        <v>0</v>
      </c>
      <c r="F491">
        <f>IF(AtoutsHandicapsMatos!$N$9=A491,1,0)</f>
        <v>0</v>
      </c>
      <c r="G491">
        <f>IF(AtoutsHandicapsMatos!$O$10=A491,1,0)</f>
        <v>0</v>
      </c>
      <c r="H491">
        <f>IF(AtoutsHandicapsMatos!$O$11=A491,1,0)</f>
        <v>0</v>
      </c>
      <c r="I491">
        <f>IF(AtoutsHandicapsMatos!$O$12=A491,1,0)</f>
        <v>0</v>
      </c>
      <c r="J491">
        <f>IF(AtoutsHandicapsMatos!$N$13=A491,1,0)</f>
        <v>0</v>
      </c>
      <c r="K491">
        <f>IF(AtoutsHandicapsMatos!$N$14=A491,1,0)</f>
        <v>0</v>
      </c>
      <c r="L491">
        <f>IF('Perso Reloaded'!$L$30=A491,1,0)</f>
        <v>0</v>
      </c>
      <c r="M491">
        <f>IF('Perso Reloaded'!$L$31=A491,1,0)</f>
        <v>0</v>
      </c>
      <c r="N491">
        <f>IF('Perso Reloaded'!$L$32=A491,1,0)</f>
        <v>0</v>
      </c>
      <c r="O491">
        <f>IF('Perso Reloaded'!$L$33=A491,1,0)</f>
        <v>0</v>
      </c>
      <c r="P491">
        <f>IF('Perso Reloaded'!$L$34=A491,1,0)</f>
        <v>0</v>
      </c>
      <c r="Q491">
        <f>IF('Perso Reloaded'!$L$35=A491,1,0)</f>
        <v>0</v>
      </c>
      <c r="R491">
        <f>IF('Perso Reloaded'!$L$36=A491,1,0)</f>
        <v>0</v>
      </c>
      <c r="S491">
        <f>IF('Perso Reloaded'!$L$37=A491,1,0)</f>
        <v>0</v>
      </c>
      <c r="T491">
        <f t="shared" si="39"/>
        <v>0</v>
      </c>
      <c r="U491" t="b">
        <f t="shared" si="38"/>
        <v>0</v>
      </c>
    </row>
    <row r="492" spans="1:21" x14ac:dyDescent="0.3">
      <c r="A492" s="65" t="s">
        <v>3655</v>
      </c>
      <c r="B492">
        <f>IF(AtoutsHandicapsMatos!$N$5=A492,1,0)</f>
        <v>0</v>
      </c>
      <c r="C492">
        <f>IF(AtoutsHandicapsMatos!$N$6=A492,1,0)</f>
        <v>0</v>
      </c>
      <c r="D492">
        <f>IF(AtoutsHandicapsMatos!$N$7=A492,1,0)</f>
        <v>0</v>
      </c>
      <c r="E492">
        <f>IF(AtoutsHandicapsMatos!$N$8=A492,1,0)</f>
        <v>0</v>
      </c>
      <c r="F492">
        <f>IF(AtoutsHandicapsMatos!$N$9=A492,1,0)</f>
        <v>0</v>
      </c>
      <c r="G492">
        <f>IF(AtoutsHandicapsMatos!$O$10=A492,1,0)</f>
        <v>0</v>
      </c>
      <c r="H492">
        <f>IF(AtoutsHandicapsMatos!$O$11=A492,1,0)</f>
        <v>0</v>
      </c>
      <c r="I492">
        <f>IF(AtoutsHandicapsMatos!$O$12=A492,1,0)</f>
        <v>0</v>
      </c>
      <c r="J492">
        <f>IF(AtoutsHandicapsMatos!$N$13=A492,1,0)</f>
        <v>0</v>
      </c>
      <c r="K492">
        <f>IF(AtoutsHandicapsMatos!$N$14=A492,1,0)</f>
        <v>0</v>
      </c>
      <c r="L492">
        <f>IF('Perso Reloaded'!$L$30=A492,1,0)</f>
        <v>0</v>
      </c>
      <c r="M492">
        <f>IF('Perso Reloaded'!$L$31=A492,1,0)</f>
        <v>0</v>
      </c>
      <c r="N492">
        <f>IF('Perso Reloaded'!$L$32=A492,1,0)</f>
        <v>0</v>
      </c>
      <c r="O492">
        <f>IF('Perso Reloaded'!$L$33=A492,1,0)</f>
        <v>0</v>
      </c>
      <c r="P492">
        <f>IF('Perso Reloaded'!$L$34=A492,1,0)</f>
        <v>0</v>
      </c>
      <c r="Q492">
        <f>IF('Perso Reloaded'!$L$35=A492,1,0)</f>
        <v>0</v>
      </c>
      <c r="R492">
        <f>IF('Perso Reloaded'!$L$36=A492,1,0)</f>
        <v>0</v>
      </c>
      <c r="S492">
        <f>IF('Perso Reloaded'!$L$37=A492,1,0)</f>
        <v>0</v>
      </c>
      <c r="T492">
        <f t="shared" si="39"/>
        <v>0</v>
      </c>
      <c r="U492" t="b">
        <f t="shared" si="38"/>
        <v>0</v>
      </c>
    </row>
    <row r="493" spans="1:21" x14ac:dyDescent="0.3">
      <c r="A493" s="65" t="str">
        <f>IF(OR('Perso Classic'!$C$6="Féminin",SexePerso="Féminin"),"Recluse","Reclus")</f>
        <v>Reclus</v>
      </c>
      <c r="B493">
        <f>IF(AtoutsHandicapsMatos!$N$5=A493,1,0)</f>
        <v>0</v>
      </c>
      <c r="C493">
        <f>IF(AtoutsHandicapsMatos!$N$6=A493,1,0)</f>
        <v>0</v>
      </c>
      <c r="D493">
        <f>IF(AtoutsHandicapsMatos!$N$7=A493,1,0)</f>
        <v>0</v>
      </c>
      <c r="E493">
        <f>IF(AtoutsHandicapsMatos!$N$8=A493,1,0)</f>
        <v>0</v>
      </c>
      <c r="F493">
        <f>IF(AtoutsHandicapsMatos!$N$9=A493,1,0)</f>
        <v>0</v>
      </c>
      <c r="G493">
        <f>IF(AtoutsHandicapsMatos!$O$10=A493,1,0)</f>
        <v>0</v>
      </c>
      <c r="H493">
        <f>IF(AtoutsHandicapsMatos!$O$11=A493,1,0)</f>
        <v>0</v>
      </c>
      <c r="I493">
        <f>IF(AtoutsHandicapsMatos!$O$12=A493,1,0)</f>
        <v>0</v>
      </c>
      <c r="J493">
        <f>IF(AtoutsHandicapsMatos!$N$13=A493,1,0)</f>
        <v>0</v>
      </c>
      <c r="K493">
        <f>IF(AtoutsHandicapsMatos!$N$14=A493,1,0)</f>
        <v>0</v>
      </c>
      <c r="L493">
        <f>IF('Perso Reloaded'!$L$30=A493,1,0)</f>
        <v>0</v>
      </c>
      <c r="M493">
        <f>IF('Perso Reloaded'!$L$31=A493,1,0)</f>
        <v>0</v>
      </c>
      <c r="N493">
        <f>IF('Perso Reloaded'!$L$32=A493,1,0)</f>
        <v>0</v>
      </c>
      <c r="O493">
        <f>IF('Perso Reloaded'!$L$33=A493,1,0)</f>
        <v>0</v>
      </c>
      <c r="P493">
        <f>IF('Perso Reloaded'!$L$34=A493,1,0)</f>
        <v>0</v>
      </c>
      <c r="Q493">
        <f>IF('Perso Reloaded'!$L$35=A493,1,0)</f>
        <v>0</v>
      </c>
      <c r="R493">
        <f>IF('Perso Reloaded'!$L$36=A493,1,0)</f>
        <v>0</v>
      </c>
      <c r="S493">
        <f>IF('Perso Reloaded'!$L$37=A493,1,0)</f>
        <v>0</v>
      </c>
      <c r="T493">
        <f t="shared" si="39"/>
        <v>0</v>
      </c>
      <c r="U493" t="b">
        <f t="shared" si="38"/>
        <v>0</v>
      </c>
    </row>
    <row r="494" spans="1:21" x14ac:dyDescent="0.3">
      <c r="A494" s="65" t="str">
        <f>IF(OR('Perso Classic'!$C$6="Féminin",SexePerso="Féminin"),"Recherché (voleuse)","Recherché (voleur)")</f>
        <v>Recherché (voleur)</v>
      </c>
      <c r="B494">
        <f>IF(AtoutsHandicapsMatos!$N$5=A494,1,0)</f>
        <v>0</v>
      </c>
      <c r="C494">
        <f>IF(AtoutsHandicapsMatos!$N$6=A494,1,0)</f>
        <v>0</v>
      </c>
      <c r="D494">
        <f>IF(AtoutsHandicapsMatos!$N$7=A494,1,0)</f>
        <v>0</v>
      </c>
      <c r="E494">
        <f>IF(AtoutsHandicapsMatos!$N$8=A494,1,0)</f>
        <v>0</v>
      </c>
      <c r="F494">
        <f>IF(AtoutsHandicapsMatos!$N$9=A494,1,0)</f>
        <v>0</v>
      </c>
      <c r="G494">
        <f>IF(AtoutsHandicapsMatos!$O$10=A494,1,0)</f>
        <v>0</v>
      </c>
      <c r="H494">
        <f>IF(AtoutsHandicapsMatos!$O$11=A494,1,0)</f>
        <v>0</v>
      </c>
      <c r="I494">
        <f>IF(AtoutsHandicapsMatos!$O$12=A494,1,0)</f>
        <v>0</v>
      </c>
      <c r="J494">
        <f>IF(AtoutsHandicapsMatos!$N$13=A494,1,0)</f>
        <v>0</v>
      </c>
      <c r="K494">
        <f>IF(AtoutsHandicapsMatos!$N$14=A494,1,0)</f>
        <v>0</v>
      </c>
      <c r="L494">
        <f>IF('Perso Reloaded'!$L$30=A494,1,0)</f>
        <v>0</v>
      </c>
      <c r="M494">
        <f>IF('Perso Reloaded'!$L$31=A494,1,0)</f>
        <v>0</v>
      </c>
      <c r="N494">
        <f>IF('Perso Reloaded'!$L$32=A494,1,0)</f>
        <v>0</v>
      </c>
      <c r="O494">
        <f>IF('Perso Reloaded'!$L$33=A494,1,0)</f>
        <v>0</v>
      </c>
      <c r="P494">
        <f>IF('Perso Reloaded'!$L$34=A494,1,0)</f>
        <v>0</v>
      </c>
      <c r="Q494">
        <f>IF('Perso Reloaded'!$L$35=A494,1,0)</f>
        <v>0</v>
      </c>
      <c r="R494">
        <f>IF('Perso Reloaded'!$L$36=A494,1,0)</f>
        <v>0</v>
      </c>
      <c r="S494">
        <f>IF('Perso Reloaded'!$L$37=A494,1,0)</f>
        <v>0</v>
      </c>
      <c r="T494">
        <f t="shared" si="39"/>
        <v>0</v>
      </c>
      <c r="U494" t="b">
        <f t="shared" si="38"/>
        <v>0</v>
      </c>
    </row>
    <row r="495" spans="1:21" x14ac:dyDescent="0.3">
      <c r="A495" s="65" t="str">
        <f>IF(OR('Perso Classic'!$C$6="Féminin",SexePerso="Féminin"),"Recherché (escroqueuse)","Recherché (escroc)")</f>
        <v>Recherché (escroc)</v>
      </c>
      <c r="B495">
        <f>IF(AtoutsHandicapsMatos!$N$5=A495,1,0)</f>
        <v>0</v>
      </c>
      <c r="C495">
        <f>IF(AtoutsHandicapsMatos!$N$6=A495,1,0)</f>
        <v>0</v>
      </c>
      <c r="D495">
        <f>IF(AtoutsHandicapsMatos!$N$7=A495,1,0)</f>
        <v>0</v>
      </c>
      <c r="E495">
        <f>IF(AtoutsHandicapsMatos!$N$8=A495,1,0)</f>
        <v>0</v>
      </c>
      <c r="F495">
        <f>IF(AtoutsHandicapsMatos!$N$9=A495,1,0)</f>
        <v>0</v>
      </c>
      <c r="G495">
        <f>IF(AtoutsHandicapsMatos!$O$10=A495,1,0)</f>
        <v>0</v>
      </c>
      <c r="H495">
        <f>IF(AtoutsHandicapsMatos!$O$11=A495,1,0)</f>
        <v>0</v>
      </c>
      <c r="I495">
        <f>IF(AtoutsHandicapsMatos!$O$12=A495,1,0)</f>
        <v>0</v>
      </c>
      <c r="J495">
        <f>IF(AtoutsHandicapsMatos!$N$13=A495,1,0)</f>
        <v>0</v>
      </c>
      <c r="K495">
        <f>IF(AtoutsHandicapsMatos!$N$14=A495,1,0)</f>
        <v>0</v>
      </c>
      <c r="L495">
        <f>IF('Perso Reloaded'!$L$30=A495,1,0)</f>
        <v>0</v>
      </c>
      <c r="M495">
        <f>IF('Perso Reloaded'!$L$31=A495,1,0)</f>
        <v>0</v>
      </c>
      <c r="N495">
        <f>IF('Perso Reloaded'!$L$32=A495,1,0)</f>
        <v>0</v>
      </c>
      <c r="O495">
        <f>IF('Perso Reloaded'!$L$33=A495,1,0)</f>
        <v>0</v>
      </c>
      <c r="P495">
        <f>IF('Perso Reloaded'!$L$34=A495,1,0)</f>
        <v>0</v>
      </c>
      <c r="Q495">
        <f>IF('Perso Reloaded'!$L$35=A495,1,0)</f>
        <v>0</v>
      </c>
      <c r="R495">
        <f>IF('Perso Reloaded'!$L$36=A495,1,0)</f>
        <v>0</v>
      </c>
      <c r="S495">
        <f>IF('Perso Reloaded'!$L$37=A495,1,0)</f>
        <v>0</v>
      </c>
      <c r="T495">
        <f t="shared" si="39"/>
        <v>0</v>
      </c>
      <c r="U495" t="b">
        <f t="shared" si="38"/>
        <v>0</v>
      </c>
    </row>
    <row r="496" spans="1:21" x14ac:dyDescent="0.3">
      <c r="A496" s="65" t="s">
        <v>1190</v>
      </c>
      <c r="B496">
        <f>IF(AtoutsHandicapsMatos!$N$5=A496,1,0)</f>
        <v>0</v>
      </c>
      <c r="C496">
        <f>IF(AtoutsHandicapsMatos!$N$6=A496,1,0)</f>
        <v>0</v>
      </c>
      <c r="D496">
        <f>IF(AtoutsHandicapsMatos!$N$7=A496,1,0)</f>
        <v>0</v>
      </c>
      <c r="E496">
        <f>IF(AtoutsHandicapsMatos!$N$8=A496,1,0)</f>
        <v>0</v>
      </c>
      <c r="F496">
        <f>IF(AtoutsHandicapsMatos!$N$9=A496,1,0)</f>
        <v>0</v>
      </c>
      <c r="G496">
        <f>IF(AtoutsHandicapsMatos!$O$10=A496,1,0)</f>
        <v>0</v>
      </c>
      <c r="H496">
        <f>IF(AtoutsHandicapsMatos!$O$11=A496,1,0)</f>
        <v>0</v>
      </c>
      <c r="I496">
        <f>IF(AtoutsHandicapsMatos!$O$12=A496,1,0)</f>
        <v>0</v>
      </c>
      <c r="J496">
        <f>IF(AtoutsHandicapsMatos!$N$13=A496,1,0)</f>
        <v>0</v>
      </c>
      <c r="K496">
        <f>IF(AtoutsHandicapsMatos!$N$14=A496,1,0)</f>
        <v>0</v>
      </c>
      <c r="L496">
        <f>IF('Perso Reloaded'!$L$30=A496,1,0)</f>
        <v>0</v>
      </c>
      <c r="M496">
        <f>IF('Perso Reloaded'!$L$31=A496,1,0)</f>
        <v>0</v>
      </c>
      <c r="N496">
        <f>IF('Perso Reloaded'!$L$32=A496,1,0)</f>
        <v>0</v>
      </c>
      <c r="O496">
        <f>IF('Perso Reloaded'!$L$33=A496,1,0)</f>
        <v>0</v>
      </c>
      <c r="P496">
        <f>IF('Perso Reloaded'!$L$34=A496,1,0)</f>
        <v>0</v>
      </c>
      <c r="Q496">
        <f>IF('Perso Reloaded'!$L$35=A496,1,0)</f>
        <v>0</v>
      </c>
      <c r="R496">
        <f>IF('Perso Reloaded'!$L$36=A496,1,0)</f>
        <v>0</v>
      </c>
      <c r="S496">
        <f>IF('Perso Reloaded'!$L$37=A496,1,0)</f>
        <v>0</v>
      </c>
      <c r="T496">
        <f t="shared" si="39"/>
        <v>0</v>
      </c>
      <c r="U496" t="b">
        <f t="shared" si="38"/>
        <v>0</v>
      </c>
    </row>
    <row r="497" spans="1:21" x14ac:dyDescent="0.3">
      <c r="A497" s="65" t="s">
        <v>1191</v>
      </c>
      <c r="B497">
        <f>IF(AtoutsHandicapsMatos!$N$5=A497,1,0)</f>
        <v>0</v>
      </c>
      <c r="C497">
        <f>IF(AtoutsHandicapsMatos!$N$6=A497,1,0)</f>
        <v>0</v>
      </c>
      <c r="D497">
        <f>IF(AtoutsHandicapsMatos!$N$7=A497,1,0)</f>
        <v>0</v>
      </c>
      <c r="E497">
        <f>IF(AtoutsHandicapsMatos!$N$8=A497,1,0)</f>
        <v>0</v>
      </c>
      <c r="F497">
        <f>IF(AtoutsHandicapsMatos!$N$9=A497,1,0)</f>
        <v>0</v>
      </c>
      <c r="G497">
        <f>IF(AtoutsHandicapsMatos!$O$10=A497,1,0)</f>
        <v>0</v>
      </c>
      <c r="H497">
        <f>IF(AtoutsHandicapsMatos!$O$11=A497,1,0)</f>
        <v>0</v>
      </c>
      <c r="I497">
        <f>IF(AtoutsHandicapsMatos!$O$12=A497,1,0)</f>
        <v>0</v>
      </c>
      <c r="J497">
        <f>IF(AtoutsHandicapsMatos!$N$13=A497,1,0)</f>
        <v>0</v>
      </c>
      <c r="K497">
        <f>IF(AtoutsHandicapsMatos!$N$14=A497,1,0)</f>
        <v>0</v>
      </c>
      <c r="L497">
        <f>IF('Perso Reloaded'!$L$30=A497,1,0)</f>
        <v>0</v>
      </c>
      <c r="M497">
        <f>IF('Perso Reloaded'!$L$31=A497,1,0)</f>
        <v>0</v>
      </c>
      <c r="N497">
        <f>IF('Perso Reloaded'!$L$32=A497,1,0)</f>
        <v>0</v>
      </c>
      <c r="O497">
        <f>IF('Perso Reloaded'!$L$33=A497,1,0)</f>
        <v>0</v>
      </c>
      <c r="P497">
        <f>IF('Perso Reloaded'!$L$34=A497,1,0)</f>
        <v>0</v>
      </c>
      <c r="Q497">
        <f>IF('Perso Reloaded'!$L$35=A497,1,0)</f>
        <v>0</v>
      </c>
      <c r="R497">
        <f>IF('Perso Reloaded'!$L$36=A497,1,0)</f>
        <v>0</v>
      </c>
      <c r="S497">
        <f>IF('Perso Reloaded'!$L$37=A497,1,0)</f>
        <v>0</v>
      </c>
      <c r="T497">
        <f t="shared" si="39"/>
        <v>0</v>
      </c>
      <c r="U497" t="b">
        <f t="shared" si="38"/>
        <v>0</v>
      </c>
    </row>
    <row r="498" spans="1:21" x14ac:dyDescent="0.3">
      <c r="A498" s="65" t="s">
        <v>1192</v>
      </c>
      <c r="B498">
        <f>IF(AtoutsHandicapsMatos!$N$5=A498,1,0)</f>
        <v>0</v>
      </c>
      <c r="C498">
        <f>IF(AtoutsHandicapsMatos!$N$6=A498,1,0)</f>
        <v>0</v>
      </c>
      <c r="D498">
        <f>IF(AtoutsHandicapsMatos!$N$7=A498,1,0)</f>
        <v>0</v>
      </c>
      <c r="E498">
        <f>IF(AtoutsHandicapsMatos!$N$8=A498,1,0)</f>
        <v>0</v>
      </c>
      <c r="F498">
        <f>IF(AtoutsHandicapsMatos!$N$9=A498,1,0)</f>
        <v>0</v>
      </c>
      <c r="G498">
        <f>IF(AtoutsHandicapsMatos!$O$10=A498,1,0)</f>
        <v>0</v>
      </c>
      <c r="H498">
        <f>IF(AtoutsHandicapsMatos!$O$11=A498,1,0)</f>
        <v>0</v>
      </c>
      <c r="I498">
        <f>IF(AtoutsHandicapsMatos!$O$12=A498,1,0)</f>
        <v>0</v>
      </c>
      <c r="J498">
        <f>IF(AtoutsHandicapsMatos!$N$13=A498,1,0)</f>
        <v>0</v>
      </c>
      <c r="K498">
        <f>IF(AtoutsHandicapsMatos!$N$14=A498,1,0)</f>
        <v>0</v>
      </c>
      <c r="L498">
        <f>IF('Perso Reloaded'!$L$30=A498,1,0)</f>
        <v>0</v>
      </c>
      <c r="M498">
        <f>IF('Perso Reloaded'!$L$31=A498,1,0)</f>
        <v>0</v>
      </c>
      <c r="N498">
        <f>IF('Perso Reloaded'!$L$32=A498,1,0)</f>
        <v>0</v>
      </c>
      <c r="O498">
        <f>IF('Perso Reloaded'!$L$33=A498,1,0)</f>
        <v>0</v>
      </c>
      <c r="P498">
        <f>IF('Perso Reloaded'!$L$34=A498,1,0)</f>
        <v>0</v>
      </c>
      <c r="Q498">
        <f>IF('Perso Reloaded'!$L$35=A498,1,0)</f>
        <v>0</v>
      </c>
      <c r="R498">
        <f>IF('Perso Reloaded'!$L$36=A498,1,0)</f>
        <v>0</v>
      </c>
      <c r="S498">
        <f>IF('Perso Reloaded'!$L$37=A498,1,0)</f>
        <v>0</v>
      </c>
      <c r="T498">
        <f t="shared" si="39"/>
        <v>0</v>
      </c>
      <c r="U498" t="b">
        <f t="shared" si="38"/>
        <v>0</v>
      </c>
    </row>
    <row r="499" spans="1:21" x14ac:dyDescent="0.3">
      <c r="A499" s="65" t="s">
        <v>4911</v>
      </c>
      <c r="B499">
        <f>IF(AtoutsHandicapsMatos!$N$5=A499,1,0)</f>
        <v>0</v>
      </c>
      <c r="C499">
        <f>IF(AtoutsHandicapsMatos!$N$6=A499,1,0)</f>
        <v>0</v>
      </c>
      <c r="D499">
        <f>IF(AtoutsHandicapsMatos!$N$7=A499,1,0)</f>
        <v>0</v>
      </c>
      <c r="E499">
        <f>IF(AtoutsHandicapsMatos!$N$8=A499,1,0)</f>
        <v>0</v>
      </c>
      <c r="F499">
        <f>IF(AtoutsHandicapsMatos!$N$9=A499,1,0)</f>
        <v>0</v>
      </c>
      <c r="G499">
        <f>IF(AtoutsHandicapsMatos!$O$10=A499,1,0)</f>
        <v>0</v>
      </c>
      <c r="H499">
        <f>IF(AtoutsHandicapsMatos!$O$11=A499,1,0)</f>
        <v>0</v>
      </c>
      <c r="I499">
        <f>IF(AtoutsHandicapsMatos!$O$12=A499,1,0)</f>
        <v>0</v>
      </c>
      <c r="J499">
        <f>IF(AtoutsHandicapsMatos!$N$13=A499,1,0)</f>
        <v>0</v>
      </c>
      <c r="K499">
        <f>IF(AtoutsHandicapsMatos!$N$14=A499,1,0)</f>
        <v>0</v>
      </c>
      <c r="L499">
        <f>IF('Perso Reloaded'!$L$30=A499,1,0)</f>
        <v>0</v>
      </c>
      <c r="M499">
        <f>IF('Perso Reloaded'!$L$31=A499,1,0)</f>
        <v>0</v>
      </c>
      <c r="N499">
        <f>IF('Perso Reloaded'!$L$32=A499,1,0)</f>
        <v>0</v>
      </c>
      <c r="O499">
        <f>IF('Perso Reloaded'!$L$33=A499,1,0)</f>
        <v>0</v>
      </c>
      <c r="P499">
        <f>IF('Perso Reloaded'!$L$34=A499,1,0)</f>
        <v>0</v>
      </c>
      <c r="Q499">
        <f>IF('Perso Reloaded'!$L$35=A499,1,0)</f>
        <v>0</v>
      </c>
      <c r="R499">
        <f>IF('Perso Reloaded'!$L$36=A499,1,0)</f>
        <v>0</v>
      </c>
      <c r="S499">
        <f>IF('Perso Reloaded'!$L$37=A499,1,0)</f>
        <v>0</v>
      </c>
      <c r="T499">
        <f t="shared" ref="T499" si="46">SUM(B499:S499)</f>
        <v>0</v>
      </c>
      <c r="U499" t="b">
        <f t="shared" ref="U499" si="47">IF(T499=0,FALSE,TRUE)</f>
        <v>0</v>
      </c>
    </row>
    <row r="500" spans="1:21" x14ac:dyDescent="0.3">
      <c r="A500" s="65" t="s">
        <v>3656</v>
      </c>
      <c r="B500">
        <f>IF(AtoutsHandicapsMatos!$N$5=A500,1,0)</f>
        <v>0</v>
      </c>
      <c r="C500">
        <f>IF(AtoutsHandicapsMatos!$N$6=A500,1,0)</f>
        <v>0</v>
      </c>
      <c r="D500">
        <f>IF(AtoutsHandicapsMatos!$N$7=A500,1,0)</f>
        <v>0</v>
      </c>
      <c r="E500">
        <f>IF(AtoutsHandicapsMatos!$N$8=A500,1,0)</f>
        <v>0</v>
      </c>
      <c r="F500">
        <f>IF(AtoutsHandicapsMatos!$N$9=A500,1,0)</f>
        <v>0</v>
      </c>
      <c r="G500">
        <f>IF(AtoutsHandicapsMatos!$O$10=A500,1,0)</f>
        <v>0</v>
      </c>
      <c r="H500">
        <f>IF(AtoutsHandicapsMatos!$O$11=A500,1,0)</f>
        <v>0</v>
      </c>
      <c r="I500">
        <f>IF(AtoutsHandicapsMatos!$O$12=A500,1,0)</f>
        <v>0</v>
      </c>
      <c r="J500">
        <f>IF(AtoutsHandicapsMatos!$N$13=A500,1,0)</f>
        <v>0</v>
      </c>
      <c r="K500">
        <f>IF(AtoutsHandicapsMatos!$N$14=A500,1,0)</f>
        <v>0</v>
      </c>
      <c r="L500">
        <f>IF('Perso Reloaded'!$L$30=A500,1,0)</f>
        <v>0</v>
      </c>
      <c r="M500">
        <f>IF('Perso Reloaded'!$L$31=A500,1,0)</f>
        <v>0</v>
      </c>
      <c r="N500">
        <f>IF('Perso Reloaded'!$L$32=A500,1,0)</f>
        <v>0</v>
      </c>
      <c r="O500">
        <f>IF('Perso Reloaded'!$L$33=A500,1,0)</f>
        <v>0</v>
      </c>
      <c r="P500">
        <f>IF('Perso Reloaded'!$L$34=A500,1,0)</f>
        <v>0</v>
      </c>
      <c r="Q500">
        <f>IF('Perso Reloaded'!$L$35=A500,1,0)</f>
        <v>0</v>
      </c>
      <c r="R500">
        <f>IF('Perso Reloaded'!$L$36=A500,1,0)</f>
        <v>0</v>
      </c>
      <c r="S500">
        <f>IF('Perso Reloaded'!$L$37=A500,1,0)</f>
        <v>0</v>
      </c>
      <c r="T500">
        <f t="shared" si="39"/>
        <v>0</v>
      </c>
      <c r="U500" t="b">
        <f t="shared" si="38"/>
        <v>0</v>
      </c>
    </row>
    <row r="501" spans="1:21" x14ac:dyDescent="0.3">
      <c r="A501" s="65" t="s">
        <v>3657</v>
      </c>
      <c r="B501">
        <f>IF(AtoutsHandicapsMatos!$N$5=A501,1,0)</f>
        <v>0</v>
      </c>
      <c r="C501">
        <f>IF(AtoutsHandicapsMatos!$N$6=A501,1,0)</f>
        <v>0</v>
      </c>
      <c r="D501">
        <f>IF(AtoutsHandicapsMatos!$N$7=A501,1,0)</f>
        <v>0</v>
      </c>
      <c r="E501">
        <f>IF(AtoutsHandicapsMatos!$N$8=A501,1,0)</f>
        <v>0</v>
      </c>
      <c r="F501">
        <f>IF(AtoutsHandicapsMatos!$N$9=A501,1,0)</f>
        <v>0</v>
      </c>
      <c r="G501">
        <f>IF(AtoutsHandicapsMatos!$O$10=A501,1,0)</f>
        <v>0</v>
      </c>
      <c r="H501">
        <f>IF(AtoutsHandicapsMatos!$O$11=A501,1,0)</f>
        <v>0</v>
      </c>
      <c r="I501">
        <f>IF(AtoutsHandicapsMatos!$O$12=A501,1,0)</f>
        <v>0</v>
      </c>
      <c r="J501">
        <f>IF(AtoutsHandicapsMatos!$N$13=A501,1,0)</f>
        <v>0</v>
      </c>
      <c r="K501">
        <f>IF(AtoutsHandicapsMatos!$N$14=A501,1,0)</f>
        <v>0</v>
      </c>
      <c r="L501">
        <f>IF('Perso Reloaded'!$L$30=A501,1,0)</f>
        <v>0</v>
      </c>
      <c r="M501">
        <f>IF('Perso Reloaded'!$L$31=A501,1,0)</f>
        <v>0</v>
      </c>
      <c r="N501">
        <f>IF('Perso Reloaded'!$L$32=A501,1,0)</f>
        <v>0</v>
      </c>
      <c r="O501">
        <f>IF('Perso Reloaded'!$L$33=A501,1,0)</f>
        <v>0</v>
      </c>
      <c r="P501">
        <f>IF('Perso Reloaded'!$L$34=A501,1,0)</f>
        <v>0</v>
      </c>
      <c r="Q501">
        <f>IF('Perso Reloaded'!$L$35=A501,1,0)</f>
        <v>0</v>
      </c>
      <c r="R501">
        <f>IF('Perso Reloaded'!$L$36=A501,1,0)</f>
        <v>0</v>
      </c>
      <c r="S501">
        <f>IF('Perso Reloaded'!$L$37=A501,1,0)</f>
        <v>0</v>
      </c>
      <c r="T501">
        <f t="shared" si="39"/>
        <v>0</v>
      </c>
      <c r="U501" t="b">
        <f t="shared" ref="U501" si="48">IF(T501=0,FALSE,TRUE)</f>
        <v>0</v>
      </c>
    </row>
    <row r="502" spans="1:21" x14ac:dyDescent="0.3">
      <c r="A502" s="65" t="str">
        <f>IF(OR('Perso Classic'!$C$6="Féminin",SexePerso="Féminin"),"Revancharde/Rancunière (Jusqu'à tuer))","Revanchard/Rancunier (Jusqu'à tuer)")</f>
        <v>Revanchard/Rancunier (Jusqu'à tuer)</v>
      </c>
      <c r="B502">
        <f>IF(AtoutsHandicapsMatos!$N$5=A502,1,0)</f>
        <v>0</v>
      </c>
      <c r="C502">
        <f>IF(AtoutsHandicapsMatos!$N$6=A502,1,0)</f>
        <v>0</v>
      </c>
      <c r="D502">
        <f>IF(AtoutsHandicapsMatos!$N$7=A502,1,0)</f>
        <v>0</v>
      </c>
      <c r="E502">
        <f>IF(AtoutsHandicapsMatos!$N$8=A502,1,0)</f>
        <v>0</v>
      </c>
      <c r="F502">
        <f>IF(AtoutsHandicapsMatos!$N$9=A502,1,0)</f>
        <v>0</v>
      </c>
      <c r="G502">
        <f>IF(AtoutsHandicapsMatos!$O$10=A502,1,0)</f>
        <v>0</v>
      </c>
      <c r="H502">
        <f>IF(AtoutsHandicapsMatos!$O$11=A502,1,0)</f>
        <v>0</v>
      </c>
      <c r="I502">
        <f>IF(AtoutsHandicapsMatos!$O$12=A502,1,0)</f>
        <v>0</v>
      </c>
      <c r="J502">
        <f>IF(AtoutsHandicapsMatos!$N$13=A502,1,0)</f>
        <v>0</v>
      </c>
      <c r="K502">
        <f>IF(AtoutsHandicapsMatos!$N$14=A502,1,0)</f>
        <v>0</v>
      </c>
      <c r="L502">
        <f>IF('Perso Reloaded'!$L$30=A502,1,0)</f>
        <v>0</v>
      </c>
      <c r="M502">
        <f>IF('Perso Reloaded'!$L$31=A502,1,0)</f>
        <v>0</v>
      </c>
      <c r="N502">
        <f>IF('Perso Reloaded'!$L$32=A502,1,0)</f>
        <v>0</v>
      </c>
      <c r="O502">
        <f>IF('Perso Reloaded'!$L$33=A502,1,0)</f>
        <v>0</v>
      </c>
      <c r="P502">
        <f>IF('Perso Reloaded'!$L$34=A502,1,0)</f>
        <v>0</v>
      </c>
      <c r="Q502">
        <f>IF('Perso Reloaded'!$L$35=A502,1,0)</f>
        <v>0</v>
      </c>
      <c r="R502">
        <f>IF('Perso Reloaded'!$L$36=A502,1,0)</f>
        <v>0</v>
      </c>
      <c r="S502">
        <f>IF('Perso Reloaded'!$L$37=A502,1,0)</f>
        <v>0</v>
      </c>
      <c r="T502">
        <f t="shared" si="39"/>
        <v>0</v>
      </c>
      <c r="U502" t="b">
        <f t="shared" si="38"/>
        <v>0</v>
      </c>
    </row>
    <row r="503" spans="1:21" x14ac:dyDescent="0.3">
      <c r="A503" s="65" t="str">
        <f>IF(OR('Perso Classic'!$C$6="Féminin",SexePerso="Féminin"),"Revancharde/Rancunière)","Revanchard/Rancunier")</f>
        <v>Revanchard/Rancunier</v>
      </c>
      <c r="B503">
        <f>IF(AtoutsHandicapsMatos!$N$5=A503,1,0)</f>
        <v>0</v>
      </c>
      <c r="C503">
        <f>IF(AtoutsHandicapsMatos!$N$6=A503,1,0)</f>
        <v>0</v>
      </c>
      <c r="D503">
        <f>IF(AtoutsHandicapsMatos!$N$7=A503,1,0)</f>
        <v>0</v>
      </c>
      <c r="E503">
        <f>IF(AtoutsHandicapsMatos!$N$8=A503,1,0)</f>
        <v>0</v>
      </c>
      <c r="F503">
        <f>IF(AtoutsHandicapsMatos!$N$9=A503,1,0)</f>
        <v>0</v>
      </c>
      <c r="G503">
        <f>IF(AtoutsHandicapsMatos!$O$10=A503,1,0)</f>
        <v>0</v>
      </c>
      <c r="H503">
        <f>IF(AtoutsHandicapsMatos!$O$11=A503,1,0)</f>
        <v>0</v>
      </c>
      <c r="I503">
        <f>IF(AtoutsHandicapsMatos!$O$12=A503,1,0)</f>
        <v>0</v>
      </c>
      <c r="J503">
        <f>IF(AtoutsHandicapsMatos!$N$13=A503,1,0)</f>
        <v>0</v>
      </c>
      <c r="K503">
        <f>IF(AtoutsHandicapsMatos!$N$14=A503,1,0)</f>
        <v>0</v>
      </c>
      <c r="L503">
        <f>IF('Perso Reloaded'!$L$30=A503,1,0)</f>
        <v>0</v>
      </c>
      <c r="M503">
        <f>IF('Perso Reloaded'!$L$31=A503,1,0)</f>
        <v>0</v>
      </c>
      <c r="N503">
        <f>IF('Perso Reloaded'!$L$32=A503,1,0)</f>
        <v>0</v>
      </c>
      <c r="O503">
        <f>IF('Perso Reloaded'!$L$33=A503,1,0)</f>
        <v>0</v>
      </c>
      <c r="P503">
        <f>IF('Perso Reloaded'!$L$34=A503,1,0)</f>
        <v>0</v>
      </c>
      <c r="Q503">
        <f>IF('Perso Reloaded'!$L$35=A503,1,0)</f>
        <v>0</v>
      </c>
      <c r="R503">
        <f>IF('Perso Reloaded'!$L$36=A503,1,0)</f>
        <v>0</v>
      </c>
      <c r="S503">
        <f>IF('Perso Reloaded'!$L$37=A503,1,0)</f>
        <v>0</v>
      </c>
      <c r="T503">
        <f t="shared" si="39"/>
        <v>0</v>
      </c>
      <c r="U503" t="b">
        <f t="shared" ref="U503" si="49">IF(T503=0,FALSE,TRUE)</f>
        <v>0</v>
      </c>
    </row>
    <row r="504" spans="1:21" x14ac:dyDescent="0.3">
      <c r="A504" s="65" t="s">
        <v>3138</v>
      </c>
      <c r="B504">
        <f>IF(AtoutsHandicapsMatos!$N$5=A504,1,0)</f>
        <v>0</v>
      </c>
      <c r="C504">
        <f>IF(AtoutsHandicapsMatos!$N$6=A504,1,0)</f>
        <v>0</v>
      </c>
      <c r="D504">
        <f>IF(AtoutsHandicapsMatos!$N$7=A504,1,0)</f>
        <v>0</v>
      </c>
      <c r="E504">
        <f>IF(AtoutsHandicapsMatos!$N$8=A504,1,0)</f>
        <v>0</v>
      </c>
      <c r="F504">
        <f>IF(AtoutsHandicapsMatos!$N$9=A504,1,0)</f>
        <v>0</v>
      </c>
      <c r="G504">
        <f>IF(AtoutsHandicapsMatos!$O$10=A504,1,0)</f>
        <v>0</v>
      </c>
      <c r="H504">
        <f>IF(AtoutsHandicapsMatos!$O$11=A504,1,0)</f>
        <v>0</v>
      </c>
      <c r="I504">
        <f>IF(AtoutsHandicapsMatos!$O$12=A504,1,0)</f>
        <v>0</v>
      </c>
      <c r="J504">
        <f>IF(AtoutsHandicapsMatos!$N$13=A504,1,0)</f>
        <v>0</v>
      </c>
      <c r="K504">
        <f>IF(AtoutsHandicapsMatos!$N$14=A504,1,0)</f>
        <v>0</v>
      </c>
      <c r="L504">
        <f>IF('Perso Reloaded'!$L$30=A504,1,0)</f>
        <v>0</v>
      </c>
      <c r="M504">
        <f>IF('Perso Reloaded'!$L$31=A504,1,0)</f>
        <v>0</v>
      </c>
      <c r="N504">
        <f>IF('Perso Reloaded'!$L$32=A504,1,0)</f>
        <v>0</v>
      </c>
      <c r="O504">
        <f>IF('Perso Reloaded'!$L$33=A504,1,0)</f>
        <v>0</v>
      </c>
      <c r="P504">
        <f>IF('Perso Reloaded'!$L$34=A504,1,0)</f>
        <v>0</v>
      </c>
      <c r="Q504">
        <f>IF('Perso Reloaded'!$L$35=A504,1,0)</f>
        <v>0</v>
      </c>
      <c r="R504">
        <f>IF('Perso Reloaded'!$L$36=A504,1,0)</f>
        <v>0</v>
      </c>
      <c r="S504">
        <f>IF('Perso Reloaded'!$L$37=A504,1,0)</f>
        <v>0</v>
      </c>
      <c r="T504">
        <f t="shared" si="39"/>
        <v>0</v>
      </c>
      <c r="U504" t="b">
        <f t="shared" ref="U504" si="50">IF(T504=0,FALSE,TRUE)</f>
        <v>0</v>
      </c>
    </row>
    <row r="505" spans="1:21" x14ac:dyDescent="0.3">
      <c r="A505" s="65" t="s">
        <v>1412</v>
      </c>
      <c r="B505">
        <f>IF(AtoutsHandicapsMatos!$N$5=A505,1,0)</f>
        <v>0</v>
      </c>
      <c r="C505">
        <f>IF(AtoutsHandicapsMatos!$N$6=A505,1,0)</f>
        <v>0</v>
      </c>
      <c r="D505">
        <f>IF(AtoutsHandicapsMatos!$N$7=A505,1,0)</f>
        <v>0</v>
      </c>
      <c r="E505">
        <f>IF(AtoutsHandicapsMatos!$N$8=A505,1,0)</f>
        <v>0</v>
      </c>
      <c r="F505">
        <f>IF(AtoutsHandicapsMatos!$N$9=A505,1,0)</f>
        <v>0</v>
      </c>
      <c r="G505">
        <f>IF(AtoutsHandicapsMatos!$O$10=A505,1,0)</f>
        <v>0</v>
      </c>
      <c r="H505">
        <f>IF(AtoutsHandicapsMatos!$O$11=A505,1,0)</f>
        <v>0</v>
      </c>
      <c r="I505">
        <f>IF(AtoutsHandicapsMatos!$O$12=A505,1,0)</f>
        <v>0</v>
      </c>
      <c r="J505">
        <f>IF(AtoutsHandicapsMatos!$N$13=A505,1,0)</f>
        <v>0</v>
      </c>
      <c r="K505">
        <f>IF(AtoutsHandicapsMatos!$N$14=A505,1,0)</f>
        <v>0</v>
      </c>
      <c r="L505">
        <f>IF('Perso Reloaded'!$L$30=A505,1,0)</f>
        <v>0</v>
      </c>
      <c r="M505">
        <f>IF('Perso Reloaded'!$L$31=A505,1,0)</f>
        <v>0</v>
      </c>
      <c r="N505">
        <f>IF('Perso Reloaded'!$L$32=A505,1,0)</f>
        <v>0</v>
      </c>
      <c r="O505">
        <f>IF('Perso Reloaded'!$L$33=A505,1,0)</f>
        <v>0</v>
      </c>
      <c r="P505">
        <f>IF('Perso Reloaded'!$L$34=A505,1,0)</f>
        <v>0</v>
      </c>
      <c r="Q505">
        <f>IF('Perso Reloaded'!$L$35=A505,1,0)</f>
        <v>0</v>
      </c>
      <c r="R505">
        <f>IF('Perso Reloaded'!$L$36=A505,1,0)</f>
        <v>0</v>
      </c>
      <c r="S505">
        <f>IF('Perso Reloaded'!$L$37=A505,1,0)</f>
        <v>0</v>
      </c>
      <c r="T505">
        <f t="shared" si="39"/>
        <v>0</v>
      </c>
      <c r="U505" t="b">
        <f t="shared" si="38"/>
        <v>0</v>
      </c>
    </row>
    <row r="506" spans="1:21" x14ac:dyDescent="0.3">
      <c r="A506" s="65" t="s">
        <v>253</v>
      </c>
      <c r="B506">
        <f>IF(AtoutsHandicapsMatos!$N$5=A506,1,0)</f>
        <v>0</v>
      </c>
      <c r="C506">
        <f>IF(AtoutsHandicapsMatos!$N$6=A506,1,0)</f>
        <v>0</v>
      </c>
      <c r="D506">
        <f>IF(AtoutsHandicapsMatos!$N$7=A506,1,0)</f>
        <v>0</v>
      </c>
      <c r="E506">
        <f>IF(AtoutsHandicapsMatos!$N$8=A506,1,0)</f>
        <v>0</v>
      </c>
      <c r="F506">
        <f>IF(AtoutsHandicapsMatos!$N$9=A506,1,0)</f>
        <v>0</v>
      </c>
      <c r="G506">
        <f>IF(AtoutsHandicapsMatos!$O$10=A506,1,0)</f>
        <v>0</v>
      </c>
      <c r="H506">
        <f>IF(AtoutsHandicapsMatos!$O$11=A506,1,0)</f>
        <v>0</v>
      </c>
      <c r="I506">
        <f>IF(AtoutsHandicapsMatos!$O$12=A506,1,0)</f>
        <v>0</v>
      </c>
      <c r="J506">
        <f>IF(AtoutsHandicapsMatos!$N$13=A506,1,0)</f>
        <v>0</v>
      </c>
      <c r="K506">
        <f>IF(AtoutsHandicapsMatos!$N$14=A506,1,0)</f>
        <v>0</v>
      </c>
      <c r="L506">
        <f>IF('Perso Reloaded'!$L$30=A506,1,0)</f>
        <v>0</v>
      </c>
      <c r="M506">
        <f>IF('Perso Reloaded'!$L$31=A506,1,0)</f>
        <v>0</v>
      </c>
      <c r="N506">
        <f>IF('Perso Reloaded'!$L$32=A506,1,0)</f>
        <v>0</v>
      </c>
      <c r="O506">
        <f>IF('Perso Reloaded'!$L$33=A506,1,0)</f>
        <v>0</v>
      </c>
      <c r="P506">
        <f>IF('Perso Reloaded'!$L$34=A506,1,0)</f>
        <v>0</v>
      </c>
      <c r="Q506">
        <f>IF('Perso Reloaded'!$L$35=A506,1,0)</f>
        <v>0</v>
      </c>
      <c r="R506">
        <f>IF('Perso Reloaded'!$L$36=A506,1,0)</f>
        <v>0</v>
      </c>
      <c r="S506">
        <f>IF('Perso Reloaded'!$L$37=A506,1,0)</f>
        <v>0</v>
      </c>
      <c r="T506">
        <f t="shared" si="39"/>
        <v>0</v>
      </c>
      <c r="U506" t="b">
        <f t="shared" si="38"/>
        <v>0</v>
      </c>
    </row>
    <row r="507" spans="1:21" x14ac:dyDescent="0.3">
      <c r="A507" s="65" t="s">
        <v>1413</v>
      </c>
      <c r="B507">
        <f>IF(AtoutsHandicapsMatos!$N$5=A507,1,0)</f>
        <v>0</v>
      </c>
      <c r="C507">
        <f>IF(AtoutsHandicapsMatos!$N$6=A507,1,0)</f>
        <v>0</v>
      </c>
      <c r="D507">
        <f>IF(AtoutsHandicapsMatos!$N$7=A507,1,0)</f>
        <v>0</v>
      </c>
      <c r="E507">
        <f>IF(AtoutsHandicapsMatos!$N$8=A507,1,0)</f>
        <v>0</v>
      </c>
      <c r="F507">
        <f>IF(AtoutsHandicapsMatos!$N$9=A507,1,0)</f>
        <v>0</v>
      </c>
      <c r="G507">
        <f>IF(AtoutsHandicapsMatos!$O$10=A507,1,0)</f>
        <v>0</v>
      </c>
      <c r="H507">
        <f>IF(AtoutsHandicapsMatos!$O$11=A507,1,0)</f>
        <v>0</v>
      </c>
      <c r="I507">
        <f>IF(AtoutsHandicapsMatos!$O$12=A507,1,0)</f>
        <v>0</v>
      </c>
      <c r="J507">
        <f>IF(AtoutsHandicapsMatos!$N$13=A507,1,0)</f>
        <v>0</v>
      </c>
      <c r="K507">
        <f>IF(AtoutsHandicapsMatos!$N$14=A507,1,0)</f>
        <v>0</v>
      </c>
      <c r="L507">
        <f>IF('Perso Reloaded'!$L$30=A507,1,0)</f>
        <v>0</v>
      </c>
      <c r="M507">
        <f>IF('Perso Reloaded'!$L$31=A507,1,0)</f>
        <v>0</v>
      </c>
      <c r="N507">
        <f>IF('Perso Reloaded'!$L$32=A507,1,0)</f>
        <v>0</v>
      </c>
      <c r="O507">
        <f>IF('Perso Reloaded'!$L$33=A507,1,0)</f>
        <v>0</v>
      </c>
      <c r="P507">
        <f>IF('Perso Reloaded'!$L$34=A507,1,0)</f>
        <v>0</v>
      </c>
      <c r="Q507">
        <f>IF('Perso Reloaded'!$L$35=A507,1,0)</f>
        <v>0</v>
      </c>
      <c r="R507">
        <f>IF('Perso Reloaded'!$L$36=A507,1,0)</f>
        <v>0</v>
      </c>
      <c r="S507">
        <f>IF('Perso Reloaded'!$L$37=A507,1,0)</f>
        <v>0</v>
      </c>
      <c r="T507">
        <f t="shared" si="39"/>
        <v>0</v>
      </c>
      <c r="U507" t="b">
        <f t="shared" si="38"/>
        <v>0</v>
      </c>
    </row>
    <row r="508" spans="1:21" x14ac:dyDescent="0.3">
      <c r="A508" s="65" t="s">
        <v>254</v>
      </c>
      <c r="B508">
        <f>IF(AtoutsHandicapsMatos!$N$5=A508,1,0)</f>
        <v>0</v>
      </c>
      <c r="C508">
        <f>IF(AtoutsHandicapsMatos!$N$6=A508,1,0)</f>
        <v>0</v>
      </c>
      <c r="D508">
        <f>IF(AtoutsHandicapsMatos!$N$7=A508,1,0)</f>
        <v>0</v>
      </c>
      <c r="E508">
        <f>IF(AtoutsHandicapsMatos!$N$8=A508,1,0)</f>
        <v>0</v>
      </c>
      <c r="F508">
        <f>IF(AtoutsHandicapsMatos!$N$9=A508,1,0)</f>
        <v>0</v>
      </c>
      <c r="G508">
        <f>IF(AtoutsHandicapsMatos!$O$10=A508,1,0)</f>
        <v>0</v>
      </c>
      <c r="H508">
        <f>IF(AtoutsHandicapsMatos!$O$11=A508,1,0)</f>
        <v>0</v>
      </c>
      <c r="I508">
        <f>IF(AtoutsHandicapsMatos!$O$12=A508,1,0)</f>
        <v>0</v>
      </c>
      <c r="J508">
        <f>IF(AtoutsHandicapsMatos!$N$13=A508,1,0)</f>
        <v>0</v>
      </c>
      <c r="K508">
        <f>IF(AtoutsHandicapsMatos!$N$14=A508,1,0)</f>
        <v>0</v>
      </c>
      <c r="L508">
        <f>IF('Perso Reloaded'!$L$30=A508,1,0)</f>
        <v>0</v>
      </c>
      <c r="M508">
        <f>IF('Perso Reloaded'!$L$31=A508,1,0)</f>
        <v>0</v>
      </c>
      <c r="N508">
        <f>IF('Perso Reloaded'!$L$32=A508,1,0)</f>
        <v>0</v>
      </c>
      <c r="O508">
        <f>IF('Perso Reloaded'!$L$33=A508,1,0)</f>
        <v>0</v>
      </c>
      <c r="P508">
        <f>IF('Perso Reloaded'!$L$34=A508,1,0)</f>
        <v>0</v>
      </c>
      <c r="Q508">
        <f>IF('Perso Reloaded'!$L$35=A508,1,0)</f>
        <v>0</v>
      </c>
      <c r="R508">
        <f>IF('Perso Reloaded'!$L$36=A508,1,0)</f>
        <v>0</v>
      </c>
      <c r="S508">
        <f>IF('Perso Reloaded'!$L$37=A508,1,0)</f>
        <v>0</v>
      </c>
      <c r="T508">
        <f t="shared" si="39"/>
        <v>0</v>
      </c>
      <c r="U508" t="b">
        <f t="shared" si="38"/>
        <v>0</v>
      </c>
    </row>
    <row r="509" spans="1:21" x14ac:dyDescent="0.3">
      <c r="A509" s="65" t="s">
        <v>255</v>
      </c>
      <c r="B509">
        <f>IF(AtoutsHandicapsMatos!$N$5=A509,1,0)</f>
        <v>0</v>
      </c>
      <c r="C509">
        <f>IF(AtoutsHandicapsMatos!$N$6=A509,1,0)</f>
        <v>0</v>
      </c>
      <c r="D509">
        <f>IF(AtoutsHandicapsMatos!$N$7=A509,1,0)</f>
        <v>0</v>
      </c>
      <c r="E509">
        <f>IF(AtoutsHandicapsMatos!$N$8=A509,1,0)</f>
        <v>0</v>
      </c>
      <c r="F509">
        <f>IF(AtoutsHandicapsMatos!$N$9=A509,1,0)</f>
        <v>0</v>
      </c>
      <c r="G509">
        <f>IF(AtoutsHandicapsMatos!$O$10=A509,1,0)</f>
        <v>0</v>
      </c>
      <c r="H509">
        <f>IF(AtoutsHandicapsMatos!$O$11=A509,1,0)</f>
        <v>0</v>
      </c>
      <c r="I509">
        <f>IF(AtoutsHandicapsMatos!$O$12=A509,1,0)</f>
        <v>0</v>
      </c>
      <c r="J509">
        <f>IF(AtoutsHandicapsMatos!$N$13=A509,1,0)</f>
        <v>0</v>
      </c>
      <c r="K509">
        <f>IF(AtoutsHandicapsMatos!$N$14=A509,1,0)</f>
        <v>0</v>
      </c>
      <c r="L509">
        <f>IF('Perso Reloaded'!$L$30=A509,1,0)</f>
        <v>0</v>
      </c>
      <c r="M509">
        <f>IF('Perso Reloaded'!$L$31=A509,1,0)</f>
        <v>0</v>
      </c>
      <c r="N509">
        <f>IF('Perso Reloaded'!$L$32=A509,1,0)</f>
        <v>0</v>
      </c>
      <c r="O509">
        <f>IF('Perso Reloaded'!$L$33=A509,1,0)</f>
        <v>0</v>
      </c>
      <c r="P509">
        <f>IF('Perso Reloaded'!$L$34=A509,1,0)</f>
        <v>0</v>
      </c>
      <c r="Q509">
        <f>IF('Perso Reloaded'!$L$35=A509,1,0)</f>
        <v>0</v>
      </c>
      <c r="R509">
        <f>IF('Perso Reloaded'!$L$36=A509,1,0)</f>
        <v>0</v>
      </c>
      <c r="S509">
        <f>IF('Perso Reloaded'!$L$37=A509,1,0)</f>
        <v>0</v>
      </c>
      <c r="T509">
        <f t="shared" si="39"/>
        <v>0</v>
      </c>
      <c r="U509" t="b">
        <f t="shared" si="38"/>
        <v>0</v>
      </c>
    </row>
    <row r="510" spans="1:21" x14ac:dyDescent="0.3">
      <c r="A510" s="65" t="s">
        <v>256</v>
      </c>
      <c r="B510">
        <f>IF(AtoutsHandicapsMatos!$N$5=A510,1,0)</f>
        <v>0</v>
      </c>
      <c r="C510">
        <f>IF(AtoutsHandicapsMatos!$N$6=A510,1,0)</f>
        <v>0</v>
      </c>
      <c r="D510">
        <f>IF(AtoutsHandicapsMatos!$N$7=A510,1,0)</f>
        <v>0</v>
      </c>
      <c r="E510">
        <f>IF(AtoutsHandicapsMatos!$N$8=A510,1,0)</f>
        <v>0</v>
      </c>
      <c r="F510">
        <f>IF(AtoutsHandicapsMatos!$N$9=A510,1,0)</f>
        <v>0</v>
      </c>
      <c r="G510">
        <f>IF(AtoutsHandicapsMatos!$O$10=A510,1,0)</f>
        <v>0</v>
      </c>
      <c r="H510">
        <f>IF(AtoutsHandicapsMatos!$O$11=A510,1,0)</f>
        <v>0</v>
      </c>
      <c r="I510">
        <f>IF(AtoutsHandicapsMatos!$O$12=A510,1,0)</f>
        <v>0</v>
      </c>
      <c r="J510">
        <f>IF(AtoutsHandicapsMatos!$N$13=A510,1,0)</f>
        <v>0</v>
      </c>
      <c r="K510">
        <f>IF(AtoutsHandicapsMatos!$N$14=A510,1,0)</f>
        <v>0</v>
      </c>
      <c r="L510">
        <f>IF('Perso Reloaded'!$L$30=A510,1,0)</f>
        <v>0</v>
      </c>
      <c r="M510">
        <f>IF('Perso Reloaded'!$L$31=A510,1,0)</f>
        <v>0</v>
      </c>
      <c r="N510">
        <f>IF('Perso Reloaded'!$L$32=A510,1,0)</f>
        <v>0</v>
      </c>
      <c r="O510">
        <f>IF('Perso Reloaded'!$L$33=A510,1,0)</f>
        <v>0</v>
      </c>
      <c r="P510">
        <f>IF('Perso Reloaded'!$L$34=A510,1,0)</f>
        <v>0</v>
      </c>
      <c r="Q510">
        <f>IF('Perso Reloaded'!$L$35=A510,1,0)</f>
        <v>0</v>
      </c>
      <c r="R510">
        <f>IF('Perso Reloaded'!$L$36=A510,1,0)</f>
        <v>0</v>
      </c>
      <c r="S510">
        <f>IF('Perso Reloaded'!$L$37=A510,1,0)</f>
        <v>0</v>
      </c>
      <c r="T510">
        <f t="shared" si="39"/>
        <v>0</v>
      </c>
      <c r="U510" t="b">
        <f t="shared" si="38"/>
        <v>0</v>
      </c>
    </row>
    <row r="511" spans="1:21" x14ac:dyDescent="0.3">
      <c r="A511" s="65" t="s">
        <v>257</v>
      </c>
      <c r="B511">
        <f>IF(AtoutsHandicapsMatos!$N$5=A511,1,0)</f>
        <v>0</v>
      </c>
      <c r="C511">
        <f>IF(AtoutsHandicapsMatos!$N$6=A511,1,0)</f>
        <v>0</v>
      </c>
      <c r="D511">
        <f>IF(AtoutsHandicapsMatos!$N$7=A511,1,0)</f>
        <v>0</v>
      </c>
      <c r="E511">
        <f>IF(AtoutsHandicapsMatos!$N$8=A511,1,0)</f>
        <v>0</v>
      </c>
      <c r="F511">
        <f>IF(AtoutsHandicapsMatos!$N$9=A511,1,0)</f>
        <v>0</v>
      </c>
      <c r="G511">
        <f>IF(AtoutsHandicapsMatos!$O$10=A511,1,0)</f>
        <v>0</v>
      </c>
      <c r="H511">
        <f>IF(AtoutsHandicapsMatos!$O$11=A511,1,0)</f>
        <v>0</v>
      </c>
      <c r="I511">
        <f>IF(AtoutsHandicapsMatos!$O$12=A511,1,0)</f>
        <v>0</v>
      </c>
      <c r="J511">
        <f>IF(AtoutsHandicapsMatos!$N$13=A511,1,0)</f>
        <v>0</v>
      </c>
      <c r="K511">
        <f>IF(AtoutsHandicapsMatos!$N$14=A511,1,0)</f>
        <v>0</v>
      </c>
      <c r="L511">
        <f>IF('Perso Reloaded'!$L$30=A511,1,0)</f>
        <v>0</v>
      </c>
      <c r="M511">
        <f>IF('Perso Reloaded'!$L$31=A511,1,0)</f>
        <v>0</v>
      </c>
      <c r="N511">
        <f>IF('Perso Reloaded'!$L$32=A511,1,0)</f>
        <v>0</v>
      </c>
      <c r="O511">
        <f>IF('Perso Reloaded'!$L$33=A511,1,0)</f>
        <v>0</v>
      </c>
      <c r="P511">
        <f>IF('Perso Reloaded'!$L$34=A511,1,0)</f>
        <v>0</v>
      </c>
      <c r="Q511">
        <f>IF('Perso Reloaded'!$L$35=A511,1,0)</f>
        <v>0</v>
      </c>
      <c r="R511">
        <f>IF('Perso Reloaded'!$L$36=A511,1,0)</f>
        <v>0</v>
      </c>
      <c r="S511">
        <f>IF('Perso Reloaded'!$L$37=A511,1,0)</f>
        <v>0</v>
      </c>
      <c r="T511">
        <f t="shared" si="39"/>
        <v>0</v>
      </c>
      <c r="U511" t="b">
        <f t="shared" si="38"/>
        <v>0</v>
      </c>
    </row>
    <row r="512" spans="1:21" x14ac:dyDescent="0.3">
      <c r="A512" s="65" t="s">
        <v>258</v>
      </c>
      <c r="B512">
        <f>IF(AtoutsHandicapsMatos!$N$5=A512,1,0)</f>
        <v>0</v>
      </c>
      <c r="C512">
        <f>IF(AtoutsHandicapsMatos!$N$6=A512,1,0)</f>
        <v>0</v>
      </c>
      <c r="D512">
        <f>IF(AtoutsHandicapsMatos!$N$7=A512,1,0)</f>
        <v>0</v>
      </c>
      <c r="E512">
        <f>IF(AtoutsHandicapsMatos!$N$8=A512,1,0)</f>
        <v>0</v>
      </c>
      <c r="F512">
        <f>IF(AtoutsHandicapsMatos!$N$9=A512,1,0)</f>
        <v>0</v>
      </c>
      <c r="G512">
        <f>IF(AtoutsHandicapsMatos!$O$10=A512,1,0)</f>
        <v>0</v>
      </c>
      <c r="H512">
        <f>IF(AtoutsHandicapsMatos!$O$11=A512,1,0)</f>
        <v>0</v>
      </c>
      <c r="I512">
        <f>IF(AtoutsHandicapsMatos!$O$12=A512,1,0)</f>
        <v>0</v>
      </c>
      <c r="J512">
        <f>IF(AtoutsHandicapsMatos!$N$13=A512,1,0)</f>
        <v>0</v>
      </c>
      <c r="K512">
        <f>IF(AtoutsHandicapsMatos!$N$14=A512,1,0)</f>
        <v>0</v>
      </c>
      <c r="L512">
        <f>IF('Perso Reloaded'!$L$30=A512,1,0)</f>
        <v>0</v>
      </c>
      <c r="M512">
        <f>IF('Perso Reloaded'!$L$31=A512,1,0)</f>
        <v>0</v>
      </c>
      <c r="N512">
        <f>IF('Perso Reloaded'!$L$32=A512,1,0)</f>
        <v>0</v>
      </c>
      <c r="O512">
        <f>IF('Perso Reloaded'!$L$33=A512,1,0)</f>
        <v>0</v>
      </c>
      <c r="P512">
        <f>IF('Perso Reloaded'!$L$34=A512,1,0)</f>
        <v>0</v>
      </c>
      <c r="Q512">
        <f>IF('Perso Reloaded'!$L$35=A512,1,0)</f>
        <v>0</v>
      </c>
      <c r="R512">
        <f>IF('Perso Reloaded'!$L$36=A512,1,0)</f>
        <v>0</v>
      </c>
      <c r="S512">
        <f>IF('Perso Reloaded'!$L$37=A512,1,0)</f>
        <v>0</v>
      </c>
      <c r="T512">
        <f t="shared" si="39"/>
        <v>0</v>
      </c>
      <c r="U512" t="b">
        <f t="shared" si="38"/>
        <v>0</v>
      </c>
    </row>
    <row r="513" spans="1:21" x14ac:dyDescent="0.3">
      <c r="A513" s="65" t="s">
        <v>259</v>
      </c>
      <c r="B513">
        <f>IF(AtoutsHandicapsMatos!$N$5=A513,1,0)</f>
        <v>0</v>
      </c>
      <c r="C513">
        <f>IF(AtoutsHandicapsMatos!$N$6=A513,1,0)</f>
        <v>0</v>
      </c>
      <c r="D513">
        <f>IF(AtoutsHandicapsMatos!$N$7=A513,1,0)</f>
        <v>0</v>
      </c>
      <c r="E513">
        <f>IF(AtoutsHandicapsMatos!$N$8=A513,1,0)</f>
        <v>0</v>
      </c>
      <c r="F513">
        <f>IF(AtoutsHandicapsMatos!$N$9=A513,1,0)</f>
        <v>0</v>
      </c>
      <c r="G513">
        <f>IF(AtoutsHandicapsMatos!$O$10=A513,1,0)</f>
        <v>0</v>
      </c>
      <c r="H513">
        <f>IF(AtoutsHandicapsMatos!$O$11=A513,1,0)</f>
        <v>0</v>
      </c>
      <c r="I513">
        <f>IF(AtoutsHandicapsMatos!$O$12=A513,1,0)</f>
        <v>0</v>
      </c>
      <c r="J513">
        <f>IF(AtoutsHandicapsMatos!$N$13=A513,1,0)</f>
        <v>0</v>
      </c>
      <c r="K513">
        <f>IF(AtoutsHandicapsMatos!$N$14=A513,1,0)</f>
        <v>0</v>
      </c>
      <c r="L513">
        <f>IF('Perso Reloaded'!$L$30=A513,1,0)</f>
        <v>0</v>
      </c>
      <c r="M513">
        <f>IF('Perso Reloaded'!$L$31=A513,1,0)</f>
        <v>0</v>
      </c>
      <c r="N513">
        <f>IF('Perso Reloaded'!$L$32=A513,1,0)</f>
        <v>0</v>
      </c>
      <c r="O513">
        <f>IF('Perso Reloaded'!$L$33=A513,1,0)</f>
        <v>0</v>
      </c>
      <c r="P513">
        <f>IF('Perso Reloaded'!$L$34=A513,1,0)</f>
        <v>0</v>
      </c>
      <c r="Q513">
        <f>IF('Perso Reloaded'!$L$35=A513,1,0)</f>
        <v>0</v>
      </c>
      <c r="R513">
        <f>IF('Perso Reloaded'!$L$36=A513,1,0)</f>
        <v>0</v>
      </c>
      <c r="S513">
        <f>IF('Perso Reloaded'!$L$37=A513,1,0)</f>
        <v>0</v>
      </c>
      <c r="T513">
        <f t="shared" si="39"/>
        <v>0</v>
      </c>
      <c r="U513" t="b">
        <f t="shared" si="38"/>
        <v>0</v>
      </c>
    </row>
    <row r="514" spans="1:21" x14ac:dyDescent="0.3">
      <c r="A514" s="65" t="s">
        <v>261</v>
      </c>
      <c r="B514">
        <f>IF(AtoutsHandicapsMatos!$N$5=A514,1,0)</f>
        <v>0</v>
      </c>
      <c r="C514">
        <f>IF(AtoutsHandicapsMatos!$N$6=A514,1,0)</f>
        <v>0</v>
      </c>
      <c r="D514">
        <f>IF(AtoutsHandicapsMatos!$N$7=A514,1,0)</f>
        <v>0</v>
      </c>
      <c r="E514">
        <f>IF(AtoutsHandicapsMatos!$N$8=A514,1,0)</f>
        <v>0</v>
      </c>
      <c r="F514">
        <f>IF(AtoutsHandicapsMatos!$N$9=A514,1,0)</f>
        <v>0</v>
      </c>
      <c r="G514">
        <f>IF(AtoutsHandicapsMatos!$O$10=A514,1,0)</f>
        <v>0</v>
      </c>
      <c r="H514">
        <f>IF(AtoutsHandicapsMatos!$O$11=A514,1,0)</f>
        <v>0</v>
      </c>
      <c r="I514">
        <f>IF(AtoutsHandicapsMatos!$O$12=A514,1,0)</f>
        <v>0</v>
      </c>
      <c r="J514">
        <f>IF(AtoutsHandicapsMatos!$N$13=A514,1,0)</f>
        <v>0</v>
      </c>
      <c r="K514">
        <f>IF(AtoutsHandicapsMatos!$N$14=A514,1,0)</f>
        <v>0</v>
      </c>
      <c r="L514">
        <f>IF('Perso Reloaded'!$L$30=A514,1,0)</f>
        <v>0</v>
      </c>
      <c r="M514">
        <f>IF('Perso Reloaded'!$L$31=A514,1,0)</f>
        <v>0</v>
      </c>
      <c r="N514">
        <f>IF('Perso Reloaded'!$L$32=A514,1,0)</f>
        <v>0</v>
      </c>
      <c r="O514">
        <f>IF('Perso Reloaded'!$L$33=A514,1,0)</f>
        <v>0</v>
      </c>
      <c r="P514">
        <f>IF('Perso Reloaded'!$L$34=A514,1,0)</f>
        <v>0</v>
      </c>
      <c r="Q514">
        <f>IF('Perso Reloaded'!$L$35=A514,1,0)</f>
        <v>0</v>
      </c>
      <c r="R514">
        <f>IF('Perso Reloaded'!$L$36=A514,1,0)</f>
        <v>0</v>
      </c>
      <c r="S514">
        <f>IF('Perso Reloaded'!$L$37=A514,1,0)</f>
        <v>0</v>
      </c>
      <c r="T514">
        <f t="shared" si="39"/>
        <v>0</v>
      </c>
      <c r="U514" t="b">
        <f t="shared" si="38"/>
        <v>0</v>
      </c>
    </row>
    <row r="515" spans="1:21" x14ac:dyDescent="0.3">
      <c r="A515" s="65" t="s">
        <v>260</v>
      </c>
      <c r="B515">
        <f>IF(AtoutsHandicapsMatos!$N$5=A515,1,0)</f>
        <v>0</v>
      </c>
      <c r="C515">
        <f>IF(AtoutsHandicapsMatos!$N$6=A515,1,0)</f>
        <v>0</v>
      </c>
      <c r="D515">
        <f>IF(AtoutsHandicapsMatos!$N$7=A515,1,0)</f>
        <v>0</v>
      </c>
      <c r="E515">
        <f>IF(AtoutsHandicapsMatos!$N$8=A515,1,0)</f>
        <v>0</v>
      </c>
      <c r="F515">
        <f>IF(AtoutsHandicapsMatos!$N$9=A515,1,0)</f>
        <v>0</v>
      </c>
      <c r="G515">
        <f>IF(AtoutsHandicapsMatos!$O$10=A515,1,0)</f>
        <v>0</v>
      </c>
      <c r="H515">
        <f>IF(AtoutsHandicapsMatos!$O$11=A515,1,0)</f>
        <v>0</v>
      </c>
      <c r="I515">
        <f>IF(AtoutsHandicapsMatos!$O$12=A515,1,0)</f>
        <v>0</v>
      </c>
      <c r="J515">
        <f>IF(AtoutsHandicapsMatos!$N$13=A515,1,0)</f>
        <v>0</v>
      </c>
      <c r="K515">
        <f>IF(AtoutsHandicapsMatos!$N$14=A515,1,0)</f>
        <v>0</v>
      </c>
      <c r="L515">
        <f>IF('Perso Reloaded'!$L$30=A515,1,0)</f>
        <v>0</v>
      </c>
      <c r="M515">
        <f>IF('Perso Reloaded'!$L$31=A515,1,0)</f>
        <v>0</v>
      </c>
      <c r="N515">
        <f>IF('Perso Reloaded'!$L$32=A515,1,0)</f>
        <v>0</v>
      </c>
      <c r="O515">
        <f>IF('Perso Reloaded'!$L$33=A515,1,0)</f>
        <v>0</v>
      </c>
      <c r="P515">
        <f>IF('Perso Reloaded'!$L$34=A515,1,0)</f>
        <v>0</v>
      </c>
      <c r="Q515">
        <f>IF('Perso Reloaded'!$L$35=A515,1,0)</f>
        <v>0</v>
      </c>
      <c r="R515">
        <f>IF('Perso Reloaded'!$L$36=A515,1,0)</f>
        <v>0</v>
      </c>
      <c r="S515">
        <f>IF('Perso Reloaded'!$L$37=A515,1,0)</f>
        <v>0</v>
      </c>
      <c r="T515">
        <f t="shared" si="39"/>
        <v>0</v>
      </c>
      <c r="U515" t="b">
        <f t="shared" si="38"/>
        <v>0</v>
      </c>
    </row>
    <row r="516" spans="1:21" x14ac:dyDescent="0.3">
      <c r="A516" s="65" t="s">
        <v>4510</v>
      </c>
      <c r="B516">
        <f>IF(AtoutsHandicapsMatos!$N$5=A516,1,0)</f>
        <v>0</v>
      </c>
      <c r="C516">
        <f>IF(AtoutsHandicapsMatos!$N$6=A516,1,0)</f>
        <v>0</v>
      </c>
      <c r="D516">
        <f>IF(AtoutsHandicapsMatos!$N$7=A516,1,0)</f>
        <v>0</v>
      </c>
      <c r="E516">
        <f>IF(AtoutsHandicapsMatos!$N$8=A516,1,0)</f>
        <v>0</v>
      </c>
      <c r="F516">
        <f>IF(AtoutsHandicapsMatos!$N$9=A516,1,0)</f>
        <v>0</v>
      </c>
      <c r="G516">
        <f>IF(AtoutsHandicapsMatos!$O$10=A516,1,0)</f>
        <v>0</v>
      </c>
      <c r="H516">
        <f>IF(AtoutsHandicapsMatos!$O$11=A516,1,0)</f>
        <v>0</v>
      </c>
      <c r="I516">
        <f>IF(AtoutsHandicapsMatos!$O$12=A516,1,0)</f>
        <v>0</v>
      </c>
      <c r="J516">
        <f>IF(AtoutsHandicapsMatos!$N$13=A516,1,0)</f>
        <v>0</v>
      </c>
      <c r="K516">
        <f>IF(AtoutsHandicapsMatos!$N$14=A516,1,0)</f>
        <v>0</v>
      </c>
      <c r="L516">
        <f>IF('Perso Reloaded'!$L$30=A516,1,0)</f>
        <v>0</v>
      </c>
      <c r="M516">
        <f>IF('Perso Reloaded'!$L$31=A516,1,0)</f>
        <v>0</v>
      </c>
      <c r="N516">
        <f>IF('Perso Reloaded'!$L$32=A516,1,0)</f>
        <v>0</v>
      </c>
      <c r="O516">
        <f>IF('Perso Reloaded'!$L$33=A516,1,0)</f>
        <v>0</v>
      </c>
      <c r="P516">
        <f>IF('Perso Reloaded'!$L$34=A516,1,0)</f>
        <v>0</v>
      </c>
      <c r="Q516">
        <f>IF('Perso Reloaded'!$L$35=A516,1,0)</f>
        <v>0</v>
      </c>
      <c r="R516">
        <f>IF('Perso Reloaded'!$L$36=A516,1,0)</f>
        <v>0</v>
      </c>
      <c r="S516">
        <f>IF('Perso Reloaded'!$L$37=A516,1,0)</f>
        <v>0</v>
      </c>
      <c r="T516">
        <f t="shared" ref="T516" si="51">SUM(B516:S516)</f>
        <v>0</v>
      </c>
      <c r="U516" t="b">
        <f t="shared" ref="U516" si="52">IF(T516=0,FALSE,TRUE)</f>
        <v>0</v>
      </c>
    </row>
    <row r="517" spans="1:21" x14ac:dyDescent="0.3">
      <c r="A517" s="65" t="str">
        <f>IF(OR('Perso Classic'!$C$6="Féminin",SexePerso="Féminin"),"Sourde (Dure de la feuille))","Sourd (Dur de la feuille)")</f>
        <v>Sourd (Dur de la feuille)</v>
      </c>
      <c r="B517">
        <f>IF(AtoutsHandicapsMatos!$N$5=A517,1,0)</f>
        <v>0</v>
      </c>
      <c r="C517">
        <f>IF(AtoutsHandicapsMatos!$N$6=A517,1,0)</f>
        <v>0</v>
      </c>
      <c r="D517">
        <f>IF(AtoutsHandicapsMatos!$N$7=A517,1,0)</f>
        <v>0</v>
      </c>
      <c r="E517">
        <f>IF(AtoutsHandicapsMatos!$N$8=A517,1,0)</f>
        <v>0</v>
      </c>
      <c r="F517">
        <f>IF(AtoutsHandicapsMatos!$N$9=A517,1,0)</f>
        <v>0</v>
      </c>
      <c r="G517">
        <f>IF(AtoutsHandicapsMatos!$O$10=A517,1,0)</f>
        <v>0</v>
      </c>
      <c r="H517">
        <f>IF(AtoutsHandicapsMatos!$O$11=A517,1,0)</f>
        <v>0</v>
      </c>
      <c r="I517">
        <f>IF(AtoutsHandicapsMatos!$O$12=A517,1,0)</f>
        <v>0</v>
      </c>
      <c r="J517">
        <f>IF(AtoutsHandicapsMatos!$N$13=A517,1,0)</f>
        <v>0</v>
      </c>
      <c r="K517">
        <f>IF(AtoutsHandicapsMatos!$N$14=A517,1,0)</f>
        <v>0</v>
      </c>
      <c r="L517">
        <f>IF('Perso Reloaded'!$L$30=A517,1,0)</f>
        <v>0</v>
      </c>
      <c r="M517">
        <f>IF('Perso Reloaded'!$L$31=A517,1,0)</f>
        <v>0</v>
      </c>
      <c r="N517">
        <f>IF('Perso Reloaded'!$L$32=A517,1,0)</f>
        <v>0</v>
      </c>
      <c r="O517">
        <f>IF('Perso Reloaded'!$L$33=A517,1,0)</f>
        <v>0</v>
      </c>
      <c r="P517">
        <f>IF('Perso Reloaded'!$L$34=A517,1,0)</f>
        <v>0</v>
      </c>
      <c r="Q517">
        <f>IF('Perso Reloaded'!$L$35=A517,1,0)</f>
        <v>0</v>
      </c>
      <c r="R517">
        <f>IF('Perso Reloaded'!$L$36=A517,1,0)</f>
        <v>0</v>
      </c>
      <c r="S517">
        <f>IF('Perso Reloaded'!$L$37=A517,1,0)</f>
        <v>0</v>
      </c>
      <c r="T517">
        <f t="shared" si="39"/>
        <v>0</v>
      </c>
      <c r="U517" t="b">
        <f t="shared" si="38"/>
        <v>0</v>
      </c>
    </row>
    <row r="518" spans="1:21" x14ac:dyDescent="0.3">
      <c r="A518" s="65" t="str">
        <f>IF(OR('Perso Classic'!$C$6="Féminin",SexePerso="Féminin"),"Sourde (Sourde comme un pot))","Sourd (Sourd comme un pot)")</f>
        <v>Sourd (Sourd comme un pot)</v>
      </c>
      <c r="B518">
        <f>IF(AtoutsHandicapsMatos!$N$5=A518,1,0)</f>
        <v>0</v>
      </c>
      <c r="C518">
        <f>IF(AtoutsHandicapsMatos!$N$6=A518,1,0)</f>
        <v>0</v>
      </c>
      <c r="D518">
        <f>IF(AtoutsHandicapsMatos!$N$7=A518,1,0)</f>
        <v>0</v>
      </c>
      <c r="E518">
        <f>IF(AtoutsHandicapsMatos!$N$8=A518,1,0)</f>
        <v>0</v>
      </c>
      <c r="F518">
        <f>IF(AtoutsHandicapsMatos!$N$9=A518,1,0)</f>
        <v>0</v>
      </c>
      <c r="G518">
        <f>IF(AtoutsHandicapsMatos!$O$10=A518,1,0)</f>
        <v>0</v>
      </c>
      <c r="H518">
        <f>IF(AtoutsHandicapsMatos!$O$11=A518,1,0)</f>
        <v>0</v>
      </c>
      <c r="I518">
        <f>IF(AtoutsHandicapsMatos!$O$12=A518,1,0)</f>
        <v>0</v>
      </c>
      <c r="J518">
        <f>IF(AtoutsHandicapsMatos!$N$13=A518,1,0)</f>
        <v>0</v>
      </c>
      <c r="K518">
        <f>IF(AtoutsHandicapsMatos!$N$14=A518,1,0)</f>
        <v>0</v>
      </c>
      <c r="L518">
        <f>IF('Perso Reloaded'!$L$30=A518,1,0)</f>
        <v>0</v>
      </c>
      <c r="M518">
        <f>IF('Perso Reloaded'!$L$31=A518,1,0)</f>
        <v>0</v>
      </c>
      <c r="N518">
        <f>IF('Perso Reloaded'!$L$32=A518,1,0)</f>
        <v>0</v>
      </c>
      <c r="O518">
        <f>IF('Perso Reloaded'!$L$33=A518,1,0)</f>
        <v>0</v>
      </c>
      <c r="P518">
        <f>IF('Perso Reloaded'!$L$34=A518,1,0)</f>
        <v>0</v>
      </c>
      <c r="Q518">
        <f>IF('Perso Reloaded'!$L$35=A518,1,0)</f>
        <v>0</v>
      </c>
      <c r="R518">
        <f>IF('Perso Reloaded'!$L$36=A518,1,0)</f>
        <v>0</v>
      </c>
      <c r="S518">
        <f>IF('Perso Reloaded'!$L$37=A518,1,0)</f>
        <v>0</v>
      </c>
      <c r="T518">
        <f t="shared" si="39"/>
        <v>0</v>
      </c>
      <c r="U518" t="b">
        <f t="shared" si="38"/>
        <v>0</v>
      </c>
    </row>
    <row r="519" spans="1:21" x14ac:dyDescent="0.3">
      <c r="A519" s="65" t="str">
        <f>IF(OR('Perso Classic'!$C$6="Féminin",SexePerso="Féminin"),"Supersticieuse","Supersticieux")</f>
        <v>Supersticieux</v>
      </c>
      <c r="B519">
        <f>IF(AtoutsHandicapsMatos!$N$5=A519,1,0)</f>
        <v>0</v>
      </c>
      <c r="C519">
        <f>IF(AtoutsHandicapsMatos!$N$6=A519,1,0)</f>
        <v>0</v>
      </c>
      <c r="D519">
        <f>IF(AtoutsHandicapsMatos!$N$7=A519,1,0)</f>
        <v>0</v>
      </c>
      <c r="E519">
        <f>IF(AtoutsHandicapsMatos!$N$8=A519,1,0)</f>
        <v>0</v>
      </c>
      <c r="F519">
        <f>IF(AtoutsHandicapsMatos!$N$9=A519,1,0)</f>
        <v>0</v>
      </c>
      <c r="G519">
        <f>IF(AtoutsHandicapsMatos!$O$10=A519,1,0)</f>
        <v>0</v>
      </c>
      <c r="H519">
        <f>IF(AtoutsHandicapsMatos!$O$11=A519,1,0)</f>
        <v>0</v>
      </c>
      <c r="I519">
        <f>IF(AtoutsHandicapsMatos!$O$12=A519,1,0)</f>
        <v>0</v>
      </c>
      <c r="J519">
        <f>IF(AtoutsHandicapsMatos!$N$13=A519,1,0)</f>
        <v>0</v>
      </c>
      <c r="K519">
        <f>IF(AtoutsHandicapsMatos!$N$14=A519,1,0)</f>
        <v>0</v>
      </c>
      <c r="L519">
        <f>IF('Perso Reloaded'!$L$30=A519,1,0)</f>
        <v>0</v>
      </c>
      <c r="M519">
        <f>IF('Perso Reloaded'!$L$31=A519,1,0)</f>
        <v>0</v>
      </c>
      <c r="N519">
        <f>IF('Perso Reloaded'!$L$32=A519,1,0)</f>
        <v>0</v>
      </c>
      <c r="O519">
        <f>IF('Perso Reloaded'!$L$33=A519,1,0)</f>
        <v>0</v>
      </c>
      <c r="P519">
        <f>IF('Perso Reloaded'!$L$34=A519,1,0)</f>
        <v>0</v>
      </c>
      <c r="Q519">
        <f>IF('Perso Reloaded'!$L$35=A519,1,0)</f>
        <v>0</v>
      </c>
      <c r="R519">
        <f>IF('Perso Reloaded'!$L$36=A519,1,0)</f>
        <v>0</v>
      </c>
      <c r="S519">
        <f>IF('Perso Reloaded'!$L$37=A519,1,0)</f>
        <v>0</v>
      </c>
      <c r="T519">
        <f t="shared" si="39"/>
        <v>0</v>
      </c>
      <c r="U519" t="b">
        <f t="shared" si="38"/>
        <v>0</v>
      </c>
    </row>
    <row r="520" spans="1:21" x14ac:dyDescent="0.3">
      <c r="A520" s="65" t="s">
        <v>3658</v>
      </c>
      <c r="B520">
        <f>IF(AtoutsHandicapsMatos!$N$5=A520,1,0)</f>
        <v>0</v>
      </c>
      <c r="C520">
        <f>IF(AtoutsHandicapsMatos!$N$6=A520,1,0)</f>
        <v>0</v>
      </c>
      <c r="D520">
        <f>IF(AtoutsHandicapsMatos!$N$7=A520,1,0)</f>
        <v>0</v>
      </c>
      <c r="E520">
        <f>IF(AtoutsHandicapsMatos!$N$8=A520,1,0)</f>
        <v>0</v>
      </c>
      <c r="F520">
        <f>IF(AtoutsHandicapsMatos!$N$9=A520,1,0)</f>
        <v>0</v>
      </c>
      <c r="G520">
        <f>IF(AtoutsHandicapsMatos!$O$10=A520,1,0)</f>
        <v>0</v>
      </c>
      <c r="H520">
        <f>IF(AtoutsHandicapsMatos!$O$11=A520,1,0)</f>
        <v>0</v>
      </c>
      <c r="I520">
        <f>IF(AtoutsHandicapsMatos!$O$12=A520,1,0)</f>
        <v>0</v>
      </c>
      <c r="J520">
        <f>IF(AtoutsHandicapsMatos!$N$13=A520,1,0)</f>
        <v>0</v>
      </c>
      <c r="K520">
        <f>IF(AtoutsHandicapsMatos!$N$14=A520,1,0)</f>
        <v>0</v>
      </c>
      <c r="L520">
        <f>IF('Perso Reloaded'!$L$30=A520,1,0)</f>
        <v>0</v>
      </c>
      <c r="M520">
        <f>IF('Perso Reloaded'!$L$31=A520,1,0)</f>
        <v>0</v>
      </c>
      <c r="N520">
        <f>IF('Perso Reloaded'!$L$32=A520,1,0)</f>
        <v>0</v>
      </c>
      <c r="O520">
        <f>IF('Perso Reloaded'!$L$33=A520,1,0)</f>
        <v>0</v>
      </c>
      <c r="P520">
        <f>IF('Perso Reloaded'!$L$34=A520,1,0)</f>
        <v>0</v>
      </c>
      <c r="Q520">
        <f>IF('Perso Reloaded'!$L$35=A520,1,0)</f>
        <v>0</v>
      </c>
      <c r="R520">
        <f>IF('Perso Reloaded'!$L$36=A520,1,0)</f>
        <v>0</v>
      </c>
      <c r="S520">
        <f>IF('Perso Reloaded'!$L$37=A520,1,0)</f>
        <v>0</v>
      </c>
      <c r="T520">
        <f t="shared" si="39"/>
        <v>0</v>
      </c>
      <c r="U520" t="b">
        <f t="shared" si="38"/>
        <v>0</v>
      </c>
    </row>
    <row r="521" spans="1:21" x14ac:dyDescent="0.3">
      <c r="A521" s="65" t="str">
        <f>IF(OR('Perso Classic'!$C$6="Féminin",SexePerso="Féminin"),"Tétue","Tétu")</f>
        <v>Tétu</v>
      </c>
      <c r="B521">
        <f>IF(AtoutsHandicapsMatos!$N$5=A521,1,0)</f>
        <v>0</v>
      </c>
      <c r="C521">
        <f>IF(AtoutsHandicapsMatos!$N$6=A521,1,0)</f>
        <v>0</v>
      </c>
      <c r="D521">
        <f>IF(AtoutsHandicapsMatos!$N$7=A521,1,0)</f>
        <v>0</v>
      </c>
      <c r="E521">
        <f>IF(AtoutsHandicapsMatos!$N$8=A521,1,0)</f>
        <v>0</v>
      </c>
      <c r="F521">
        <f>IF(AtoutsHandicapsMatos!$N$9=A521,1,0)</f>
        <v>0</v>
      </c>
      <c r="G521">
        <f>IF(AtoutsHandicapsMatos!$O$10=A521,1,0)</f>
        <v>0</v>
      </c>
      <c r="H521">
        <f>IF(AtoutsHandicapsMatos!$O$11=A521,1,0)</f>
        <v>0</v>
      </c>
      <c r="I521">
        <f>IF(AtoutsHandicapsMatos!$O$12=A521,1,0)</f>
        <v>0</v>
      </c>
      <c r="J521">
        <f>IF(AtoutsHandicapsMatos!$N$13=A521,1,0)</f>
        <v>0</v>
      </c>
      <c r="K521">
        <f>IF(AtoutsHandicapsMatos!$N$14=A521,1,0)</f>
        <v>0</v>
      </c>
      <c r="L521">
        <f>IF('Perso Reloaded'!$L$30=A521,1,0)</f>
        <v>0</v>
      </c>
      <c r="M521">
        <f>IF('Perso Reloaded'!$L$31=A521,1,0)</f>
        <v>0</v>
      </c>
      <c r="N521">
        <f>IF('Perso Reloaded'!$L$32=A521,1,0)</f>
        <v>0</v>
      </c>
      <c r="O521">
        <f>IF('Perso Reloaded'!$L$33=A521,1,0)</f>
        <v>0</v>
      </c>
      <c r="P521">
        <f>IF('Perso Reloaded'!$L$34=A521,1,0)</f>
        <v>0</v>
      </c>
      <c r="Q521">
        <f>IF('Perso Reloaded'!$L$35=A521,1,0)</f>
        <v>0</v>
      </c>
      <c r="R521">
        <f>IF('Perso Reloaded'!$L$36=A521,1,0)</f>
        <v>0</v>
      </c>
      <c r="S521">
        <f>IF('Perso Reloaded'!$L$37=A521,1,0)</f>
        <v>0</v>
      </c>
      <c r="T521">
        <f t="shared" si="39"/>
        <v>0</v>
      </c>
      <c r="U521" t="b">
        <f t="shared" si="38"/>
        <v>0</v>
      </c>
    </row>
    <row r="522" spans="1:21" x14ac:dyDescent="0.3">
      <c r="A522" s="65" t="s">
        <v>3659</v>
      </c>
      <c r="B522">
        <f>IF(AtoutsHandicapsMatos!$N$5=A522,1,0)</f>
        <v>0</v>
      </c>
      <c r="C522">
        <f>IF(AtoutsHandicapsMatos!$N$6=A522,1,0)</f>
        <v>0</v>
      </c>
      <c r="D522">
        <f>IF(AtoutsHandicapsMatos!$N$7=A522,1,0)</f>
        <v>0</v>
      </c>
      <c r="E522">
        <f>IF(AtoutsHandicapsMatos!$N$8=A522,1,0)</f>
        <v>0</v>
      </c>
      <c r="F522">
        <f>IF(AtoutsHandicapsMatos!$N$9=A522,1,0)</f>
        <v>0</v>
      </c>
      <c r="G522">
        <f>IF(AtoutsHandicapsMatos!$O$10=A522,1,0)</f>
        <v>0</v>
      </c>
      <c r="H522">
        <f>IF(AtoutsHandicapsMatos!$O$11=A522,1,0)</f>
        <v>0</v>
      </c>
      <c r="I522">
        <f>IF(AtoutsHandicapsMatos!$O$12=A522,1,0)</f>
        <v>0</v>
      </c>
      <c r="J522">
        <f>IF(AtoutsHandicapsMatos!$N$13=A522,1,0)</f>
        <v>0</v>
      </c>
      <c r="K522">
        <f>IF(AtoutsHandicapsMatos!$N$14=A522,1,0)</f>
        <v>0</v>
      </c>
      <c r="L522">
        <f>IF('Perso Reloaded'!$L$30=A522,1,0)</f>
        <v>0</v>
      </c>
      <c r="M522">
        <f>IF('Perso Reloaded'!$L$31=A522,1,0)</f>
        <v>0</v>
      </c>
      <c r="N522">
        <f>IF('Perso Reloaded'!$L$32=A522,1,0)</f>
        <v>0</v>
      </c>
      <c r="O522">
        <f>IF('Perso Reloaded'!$L$33=A522,1,0)</f>
        <v>0</v>
      </c>
      <c r="P522">
        <f>IF('Perso Reloaded'!$L$34=A522,1,0)</f>
        <v>0</v>
      </c>
      <c r="Q522">
        <f>IF('Perso Reloaded'!$L$35=A522,1,0)</f>
        <v>0</v>
      </c>
      <c r="R522">
        <f>IF('Perso Reloaded'!$L$36=A522,1,0)</f>
        <v>0</v>
      </c>
      <c r="S522">
        <f>IF('Perso Reloaded'!$L$37=A522,1,0)</f>
        <v>0</v>
      </c>
      <c r="T522">
        <f t="shared" si="39"/>
        <v>0</v>
      </c>
      <c r="U522" t="b">
        <f t="shared" si="38"/>
        <v>0</v>
      </c>
    </row>
    <row r="523" spans="1:21" x14ac:dyDescent="0.3">
      <c r="A523" s="65" t="s">
        <v>3660</v>
      </c>
      <c r="B523">
        <f>IF(AtoutsHandicapsMatos!$N$5=A523,1,0)</f>
        <v>0</v>
      </c>
      <c r="C523">
        <f>IF(AtoutsHandicapsMatos!$N$6=A523,1,0)</f>
        <v>0</v>
      </c>
      <c r="D523">
        <f>IF(AtoutsHandicapsMatos!$N$7=A523,1,0)</f>
        <v>0</v>
      </c>
      <c r="E523">
        <f>IF(AtoutsHandicapsMatos!$N$8=A523,1,0)</f>
        <v>0</v>
      </c>
      <c r="F523">
        <f>IF(AtoutsHandicapsMatos!$N$9=A523,1,0)</f>
        <v>0</v>
      </c>
      <c r="G523">
        <f>IF(AtoutsHandicapsMatos!$O$10=A523,1,0)</f>
        <v>0</v>
      </c>
      <c r="H523">
        <f>IF(AtoutsHandicapsMatos!$O$11=A523,1,0)</f>
        <v>0</v>
      </c>
      <c r="I523">
        <f>IF(AtoutsHandicapsMatos!$O$12=A523,1,0)</f>
        <v>0</v>
      </c>
      <c r="J523">
        <f>IF(AtoutsHandicapsMatos!$N$13=A523,1,0)</f>
        <v>0</v>
      </c>
      <c r="K523">
        <f>IF(AtoutsHandicapsMatos!$N$14=A523,1,0)</f>
        <v>0</v>
      </c>
      <c r="L523">
        <f>IF('Perso Reloaded'!$L$30=A523,1,0)</f>
        <v>0</v>
      </c>
      <c r="M523">
        <f>IF('Perso Reloaded'!$L$31=A523,1,0)</f>
        <v>0</v>
      </c>
      <c r="N523">
        <f>IF('Perso Reloaded'!$L$32=A523,1,0)</f>
        <v>0</v>
      </c>
      <c r="O523">
        <f>IF('Perso Reloaded'!$L$33=A523,1,0)</f>
        <v>0</v>
      </c>
      <c r="P523">
        <f>IF('Perso Reloaded'!$L$34=A523,1,0)</f>
        <v>0</v>
      </c>
      <c r="Q523">
        <f>IF('Perso Reloaded'!$L$35=A523,1,0)</f>
        <v>0</v>
      </c>
      <c r="R523">
        <f>IF('Perso Reloaded'!$L$36=A523,1,0)</f>
        <v>0</v>
      </c>
      <c r="S523">
        <f>IF('Perso Reloaded'!$L$37=A523,1,0)</f>
        <v>0</v>
      </c>
      <c r="T523">
        <f t="shared" si="39"/>
        <v>0</v>
      </c>
      <c r="U523" t="b">
        <f t="shared" si="38"/>
        <v>0</v>
      </c>
    </row>
    <row r="524" spans="1:21" x14ac:dyDescent="0.3">
      <c r="A524" s="65" t="s">
        <v>3661</v>
      </c>
      <c r="B524">
        <f>IF(AtoutsHandicapsMatos!$N$5=A524,1,0)</f>
        <v>0</v>
      </c>
      <c r="C524">
        <f>IF(AtoutsHandicapsMatos!$N$6=A524,1,0)</f>
        <v>0</v>
      </c>
      <c r="D524">
        <f>IF(AtoutsHandicapsMatos!$N$7=A524,1,0)</f>
        <v>0</v>
      </c>
      <c r="E524">
        <f>IF(AtoutsHandicapsMatos!$N$8=A524,1,0)</f>
        <v>0</v>
      </c>
      <c r="F524">
        <f>IF(AtoutsHandicapsMatos!$N$9=A524,1,0)</f>
        <v>0</v>
      </c>
      <c r="G524">
        <f>IF(AtoutsHandicapsMatos!$O$10=A524,1,0)</f>
        <v>0</v>
      </c>
      <c r="H524">
        <f>IF(AtoutsHandicapsMatos!$O$11=A524,1,0)</f>
        <v>0</v>
      </c>
      <c r="I524">
        <f>IF(AtoutsHandicapsMatos!$O$12=A524,1,0)</f>
        <v>0</v>
      </c>
      <c r="J524">
        <f>IF(AtoutsHandicapsMatos!$N$13=A524,1,0)</f>
        <v>0</v>
      </c>
      <c r="K524">
        <f>IF(AtoutsHandicapsMatos!$N$14=A524,1,0)</f>
        <v>0</v>
      </c>
      <c r="L524">
        <f>IF('Perso Reloaded'!$L$30=A524,1,0)</f>
        <v>0</v>
      </c>
      <c r="M524">
        <f>IF('Perso Reloaded'!$L$31=A524,1,0)</f>
        <v>0</v>
      </c>
      <c r="N524">
        <f>IF('Perso Reloaded'!$L$32=A524,1,0)</f>
        <v>0</v>
      </c>
      <c r="O524">
        <f>IF('Perso Reloaded'!$L$33=A524,1,0)</f>
        <v>0</v>
      </c>
      <c r="P524">
        <f>IF('Perso Reloaded'!$L$34=A524,1,0)</f>
        <v>0</v>
      </c>
      <c r="Q524">
        <f>IF('Perso Reloaded'!$L$35=A524,1,0)</f>
        <v>0</v>
      </c>
      <c r="R524">
        <f>IF('Perso Reloaded'!$L$36=A524,1,0)</f>
        <v>0</v>
      </c>
      <c r="S524">
        <f>IF('Perso Reloaded'!$L$37=A524,1,0)</f>
        <v>0</v>
      </c>
      <c r="T524">
        <f t="shared" si="39"/>
        <v>0</v>
      </c>
      <c r="U524" t="b">
        <f t="shared" si="38"/>
        <v>0</v>
      </c>
    </row>
    <row r="525" spans="1:21" x14ac:dyDescent="0.3">
      <c r="A525" s="65" t="s">
        <v>3662</v>
      </c>
      <c r="B525">
        <f>IF(AtoutsHandicapsMatos!$N$5=A525,1,0)</f>
        <v>0</v>
      </c>
      <c r="C525">
        <f>IF(AtoutsHandicapsMatos!$N$6=A525,1,0)</f>
        <v>0</v>
      </c>
      <c r="D525">
        <f>IF(AtoutsHandicapsMatos!$N$7=A525,1,0)</f>
        <v>0</v>
      </c>
      <c r="E525">
        <f>IF(AtoutsHandicapsMatos!$N$8=A525,1,0)</f>
        <v>0</v>
      </c>
      <c r="F525">
        <f>IF(AtoutsHandicapsMatos!$N$9=A525,1,0)</f>
        <v>0</v>
      </c>
      <c r="G525">
        <f>IF(AtoutsHandicapsMatos!$O$10=A525,1,0)</f>
        <v>0</v>
      </c>
      <c r="H525">
        <f>IF(AtoutsHandicapsMatos!$O$11=A525,1,0)</f>
        <v>0</v>
      </c>
      <c r="I525">
        <f>IF(AtoutsHandicapsMatos!$O$12=A525,1,0)</f>
        <v>0</v>
      </c>
      <c r="J525">
        <f>IF(AtoutsHandicapsMatos!$N$13=A525,1,0)</f>
        <v>0</v>
      </c>
      <c r="K525">
        <f>IF(AtoutsHandicapsMatos!$N$14=A525,1,0)</f>
        <v>0</v>
      </c>
      <c r="L525">
        <f>IF('Perso Reloaded'!$L$30=A525,1,0)</f>
        <v>0</v>
      </c>
      <c r="M525">
        <f>IF('Perso Reloaded'!$L$31=A525,1,0)</f>
        <v>0</v>
      </c>
      <c r="N525">
        <f>IF('Perso Reloaded'!$L$32=A525,1,0)</f>
        <v>0</v>
      </c>
      <c r="O525">
        <f>IF('Perso Reloaded'!$L$33=A525,1,0)</f>
        <v>0</v>
      </c>
      <c r="P525">
        <f>IF('Perso Reloaded'!$L$34=A525,1,0)</f>
        <v>0</v>
      </c>
      <c r="Q525">
        <f>IF('Perso Reloaded'!$L$35=A525,1,0)</f>
        <v>0</v>
      </c>
      <c r="R525">
        <f>IF('Perso Reloaded'!$L$36=A525,1,0)</f>
        <v>0</v>
      </c>
      <c r="S525">
        <f>IF('Perso Reloaded'!$L$37=A525,1,0)</f>
        <v>0</v>
      </c>
      <c r="T525">
        <f t="shared" si="39"/>
        <v>0</v>
      </c>
      <c r="U525" t="b">
        <f t="shared" si="38"/>
        <v>0</v>
      </c>
    </row>
    <row r="526" spans="1:21" x14ac:dyDescent="0.3">
      <c r="A526" s="65" t="s">
        <v>3663</v>
      </c>
      <c r="B526">
        <f>IF(AtoutsHandicapsMatos!$N$5=A526,1,0)</f>
        <v>0</v>
      </c>
      <c r="C526">
        <f>IF(AtoutsHandicapsMatos!$N$6=A526,1,0)</f>
        <v>0</v>
      </c>
      <c r="D526">
        <f>IF(AtoutsHandicapsMatos!$N$7=A526,1,0)</f>
        <v>0</v>
      </c>
      <c r="E526">
        <f>IF(AtoutsHandicapsMatos!$N$8=A526,1,0)</f>
        <v>0</v>
      </c>
      <c r="F526">
        <f>IF(AtoutsHandicapsMatos!$N$9=A526,1,0)</f>
        <v>0</v>
      </c>
      <c r="G526">
        <f>IF(AtoutsHandicapsMatos!$O$10=A526,1,0)</f>
        <v>0</v>
      </c>
      <c r="H526">
        <f>IF(AtoutsHandicapsMatos!$O$11=A526,1,0)</f>
        <v>0</v>
      </c>
      <c r="I526">
        <f>IF(AtoutsHandicapsMatos!$O$12=A526,1,0)</f>
        <v>0</v>
      </c>
      <c r="J526">
        <f>IF(AtoutsHandicapsMatos!$N$13=A526,1,0)</f>
        <v>0</v>
      </c>
      <c r="K526">
        <f>IF(AtoutsHandicapsMatos!$N$14=A526,1,0)</f>
        <v>0</v>
      </c>
      <c r="L526">
        <f>IF('Perso Reloaded'!$L$30=A526,1,0)</f>
        <v>0</v>
      </c>
      <c r="M526">
        <f>IF('Perso Reloaded'!$L$31=A526,1,0)</f>
        <v>0</v>
      </c>
      <c r="N526">
        <f>IF('Perso Reloaded'!$L$32=A526,1,0)</f>
        <v>0</v>
      </c>
      <c r="O526">
        <f>IF('Perso Reloaded'!$L$33=A526,1,0)</f>
        <v>0</v>
      </c>
      <c r="P526">
        <f>IF('Perso Reloaded'!$L$34=A526,1,0)</f>
        <v>0</v>
      </c>
      <c r="Q526">
        <f>IF('Perso Reloaded'!$L$35=A526,1,0)</f>
        <v>0</v>
      </c>
      <c r="R526">
        <f>IF('Perso Reloaded'!$L$36=A526,1,0)</f>
        <v>0</v>
      </c>
      <c r="S526">
        <f>IF('Perso Reloaded'!$L$37=A526,1,0)</f>
        <v>0</v>
      </c>
      <c r="T526">
        <f t="shared" si="39"/>
        <v>0</v>
      </c>
      <c r="U526" t="b">
        <f t="shared" si="38"/>
        <v>0</v>
      </c>
    </row>
    <row r="527" spans="1:21" x14ac:dyDescent="0.3">
      <c r="A527" s="65" t="s">
        <v>3664</v>
      </c>
      <c r="B527">
        <f>IF(AtoutsHandicapsMatos!$N$5=A527,1,0)</f>
        <v>0</v>
      </c>
      <c r="C527">
        <f>IF(AtoutsHandicapsMatos!$N$6=A527,1,0)</f>
        <v>0</v>
      </c>
      <c r="D527">
        <f>IF(AtoutsHandicapsMatos!$N$7=A527,1,0)</f>
        <v>0</v>
      </c>
      <c r="E527">
        <f>IF(AtoutsHandicapsMatos!$N$8=A527,1,0)</f>
        <v>0</v>
      </c>
      <c r="F527">
        <f>IF(AtoutsHandicapsMatos!$N$9=A527,1,0)</f>
        <v>0</v>
      </c>
      <c r="G527">
        <f>IF(AtoutsHandicapsMatos!$O$10=A527,1,0)</f>
        <v>0</v>
      </c>
      <c r="H527">
        <f>IF(AtoutsHandicapsMatos!$O$11=A527,1,0)</f>
        <v>0</v>
      </c>
      <c r="I527">
        <f>IF(AtoutsHandicapsMatos!$O$12=A527,1,0)</f>
        <v>0</v>
      </c>
      <c r="J527">
        <f>IF(AtoutsHandicapsMatos!$N$13=A527,1,0)</f>
        <v>0</v>
      </c>
      <c r="K527">
        <f>IF(AtoutsHandicapsMatos!$N$14=A527,1,0)</f>
        <v>0</v>
      </c>
      <c r="L527">
        <f>IF('Perso Reloaded'!$L$30=A527,1,0)</f>
        <v>0</v>
      </c>
      <c r="M527">
        <f>IF('Perso Reloaded'!$L$31=A527,1,0)</f>
        <v>0</v>
      </c>
      <c r="N527">
        <f>IF('Perso Reloaded'!$L$32=A527,1,0)</f>
        <v>0</v>
      </c>
      <c r="O527">
        <f>IF('Perso Reloaded'!$L$33=A527,1,0)</f>
        <v>0</v>
      </c>
      <c r="P527">
        <f>IF('Perso Reloaded'!$L$34=A527,1,0)</f>
        <v>0</v>
      </c>
      <c r="Q527">
        <f>IF('Perso Reloaded'!$L$35=A527,1,0)</f>
        <v>0</v>
      </c>
      <c r="R527">
        <f>IF('Perso Reloaded'!$L$36=A527,1,0)</f>
        <v>0</v>
      </c>
      <c r="S527">
        <f>IF('Perso Reloaded'!$L$37=A527,1,0)</f>
        <v>0</v>
      </c>
      <c r="T527">
        <f t="shared" si="39"/>
        <v>0</v>
      </c>
      <c r="U527" t="b">
        <f t="shared" si="38"/>
        <v>0</v>
      </c>
    </row>
    <row r="528" spans="1:21" x14ac:dyDescent="0.3">
      <c r="A528" s="65" t="s">
        <v>262</v>
      </c>
      <c r="B528">
        <f>IF(AtoutsHandicapsMatos!$N$5=A528,1,0)</f>
        <v>0</v>
      </c>
      <c r="C528">
        <f>IF(AtoutsHandicapsMatos!$N$6=A528,1,0)</f>
        <v>0</v>
      </c>
      <c r="D528">
        <f>IF(AtoutsHandicapsMatos!$N$7=A528,1,0)</f>
        <v>0</v>
      </c>
      <c r="E528">
        <f>IF(AtoutsHandicapsMatos!$N$8=A528,1,0)</f>
        <v>0</v>
      </c>
      <c r="F528">
        <f>IF(AtoutsHandicapsMatos!$N$9=A528,1,0)</f>
        <v>0</v>
      </c>
      <c r="G528">
        <f>IF(AtoutsHandicapsMatos!$O$10=A528,1,0)</f>
        <v>0</v>
      </c>
      <c r="H528">
        <f>IF(AtoutsHandicapsMatos!$O$11=A528,1,0)</f>
        <v>0</v>
      </c>
      <c r="I528">
        <f>IF(AtoutsHandicapsMatos!$O$12=A528,1,0)</f>
        <v>0</v>
      </c>
      <c r="J528">
        <f>IF(AtoutsHandicapsMatos!$N$13=A528,1,0)</f>
        <v>0</v>
      </c>
      <c r="K528">
        <f>IF(AtoutsHandicapsMatos!$N$14=A528,1,0)</f>
        <v>0</v>
      </c>
      <c r="L528">
        <f>IF('Perso Reloaded'!$L$30=A528,1,0)</f>
        <v>0</v>
      </c>
      <c r="M528">
        <f>IF('Perso Reloaded'!$L$31=A528,1,0)</f>
        <v>0</v>
      </c>
      <c r="N528">
        <f>IF('Perso Reloaded'!$L$32=A528,1,0)</f>
        <v>0</v>
      </c>
      <c r="O528">
        <f>IF('Perso Reloaded'!$L$33=A528,1,0)</f>
        <v>0</v>
      </c>
      <c r="P528">
        <f>IF('Perso Reloaded'!$L$34=A528,1,0)</f>
        <v>0</v>
      </c>
      <c r="Q528">
        <f>IF('Perso Reloaded'!$L$35=A528,1,0)</f>
        <v>0</v>
      </c>
      <c r="R528">
        <f>IF('Perso Reloaded'!$L$36=A528,1,0)</f>
        <v>0</v>
      </c>
      <c r="S528">
        <f>IF('Perso Reloaded'!$L$37=A528,1,0)</f>
        <v>0</v>
      </c>
      <c r="T528">
        <f t="shared" si="39"/>
        <v>0</v>
      </c>
      <c r="U528" t="b">
        <f t="shared" si="38"/>
        <v>0</v>
      </c>
    </row>
    <row r="529" spans="1:21" x14ac:dyDescent="0.3">
      <c r="A529" s="65" t="s">
        <v>3665</v>
      </c>
      <c r="B529">
        <f>IF(AtoutsHandicapsMatos!$N$5=A529,1,0)</f>
        <v>0</v>
      </c>
      <c r="C529">
        <f>IF(AtoutsHandicapsMatos!$N$6=A529,1,0)</f>
        <v>0</v>
      </c>
      <c r="D529">
        <f>IF(AtoutsHandicapsMatos!$N$7=A529,1,0)</f>
        <v>0</v>
      </c>
      <c r="E529">
        <f>IF(AtoutsHandicapsMatos!$N$8=A529,1,0)</f>
        <v>0</v>
      </c>
      <c r="F529">
        <f>IF(AtoutsHandicapsMatos!$N$9=A529,1,0)</f>
        <v>0</v>
      </c>
      <c r="G529">
        <f>IF(AtoutsHandicapsMatos!$O$10=A529,1,0)</f>
        <v>0</v>
      </c>
      <c r="H529">
        <f>IF(AtoutsHandicapsMatos!$O$11=A529,1,0)</f>
        <v>0</v>
      </c>
      <c r="I529">
        <f>IF(AtoutsHandicapsMatos!$O$12=A529,1,0)</f>
        <v>0</v>
      </c>
      <c r="J529">
        <f>IF(AtoutsHandicapsMatos!$N$13=A529,1,0)</f>
        <v>0</v>
      </c>
      <c r="K529">
        <f>IF(AtoutsHandicapsMatos!$N$14=A529,1,0)</f>
        <v>0</v>
      </c>
      <c r="L529">
        <f>IF('Perso Reloaded'!$L$30=A529,1,0)</f>
        <v>0</v>
      </c>
      <c r="M529">
        <f>IF('Perso Reloaded'!$L$31=A529,1,0)</f>
        <v>0</v>
      </c>
      <c r="N529">
        <f>IF('Perso Reloaded'!$L$32=A529,1,0)</f>
        <v>0</v>
      </c>
      <c r="O529">
        <f>IF('Perso Reloaded'!$L$33=A529,1,0)</f>
        <v>0</v>
      </c>
      <c r="P529">
        <f>IF('Perso Reloaded'!$L$34=A529,1,0)</f>
        <v>0</v>
      </c>
      <c r="Q529">
        <f>IF('Perso Reloaded'!$L$35=A529,1,0)</f>
        <v>0</v>
      </c>
      <c r="R529">
        <f>IF('Perso Reloaded'!$L$36=A529,1,0)</f>
        <v>0</v>
      </c>
      <c r="S529">
        <f>IF('Perso Reloaded'!$L$37=A529,1,0)</f>
        <v>0</v>
      </c>
      <c r="T529">
        <f t="shared" si="39"/>
        <v>0</v>
      </c>
      <c r="U529" t="b">
        <f t="shared" si="38"/>
        <v>0</v>
      </c>
    </row>
    <row r="530" spans="1:21" x14ac:dyDescent="0.3">
      <c r="A530" s="65" t="s">
        <v>3666</v>
      </c>
      <c r="B530">
        <f>IF(AtoutsHandicapsMatos!$N$5=A530,1,0)</f>
        <v>0</v>
      </c>
      <c r="C530">
        <f>IF(AtoutsHandicapsMatos!$N$6=A530,1,0)</f>
        <v>0</v>
      </c>
      <c r="D530">
        <f>IF(AtoutsHandicapsMatos!$N$7=A530,1,0)</f>
        <v>0</v>
      </c>
      <c r="E530">
        <f>IF(AtoutsHandicapsMatos!$N$8=A530,1,0)</f>
        <v>0</v>
      </c>
      <c r="F530">
        <f>IF(AtoutsHandicapsMatos!$N$9=A530,1,0)</f>
        <v>0</v>
      </c>
      <c r="G530">
        <f>IF(AtoutsHandicapsMatos!$O$10=A530,1,0)</f>
        <v>0</v>
      </c>
      <c r="H530">
        <f>IF(AtoutsHandicapsMatos!$O$11=A530,1,0)</f>
        <v>0</v>
      </c>
      <c r="I530">
        <f>IF(AtoutsHandicapsMatos!$O$12=A530,1,0)</f>
        <v>0</v>
      </c>
      <c r="J530">
        <f>IF(AtoutsHandicapsMatos!$N$13=A530,1,0)</f>
        <v>0</v>
      </c>
      <c r="K530">
        <f>IF(AtoutsHandicapsMatos!$N$14=A530,1,0)</f>
        <v>0</v>
      </c>
      <c r="L530">
        <f>IF('Perso Reloaded'!$L$30=A530,1,0)</f>
        <v>0</v>
      </c>
      <c r="M530">
        <f>IF('Perso Reloaded'!$L$31=A530,1,0)</f>
        <v>0</v>
      </c>
      <c r="N530">
        <f>IF('Perso Reloaded'!$L$32=A530,1,0)</f>
        <v>0</v>
      </c>
      <c r="O530">
        <f>IF('Perso Reloaded'!$L$33=A530,1,0)</f>
        <v>0</v>
      </c>
      <c r="P530">
        <f>IF('Perso Reloaded'!$L$34=A530,1,0)</f>
        <v>0</v>
      </c>
      <c r="Q530">
        <f>IF('Perso Reloaded'!$L$35=A530,1,0)</f>
        <v>0</v>
      </c>
      <c r="R530">
        <f>IF('Perso Reloaded'!$L$36=A530,1,0)</f>
        <v>0</v>
      </c>
      <c r="S530">
        <f>IF('Perso Reloaded'!$L$37=A530,1,0)</f>
        <v>0</v>
      </c>
      <c r="T530">
        <f t="shared" si="39"/>
        <v>0</v>
      </c>
      <c r="U530" t="b">
        <f t="shared" si="38"/>
        <v>0</v>
      </c>
    </row>
    <row r="531" spans="1:21" x14ac:dyDescent="0.3">
      <c r="A531" s="65" t="str">
        <f>IF(OR('Perso Classic'!$C$6="Féminin",SexePerso="Féminin"),"Whitegirl","Whiteboy")</f>
        <v>Whiteboy</v>
      </c>
      <c r="B531">
        <f>IF(AtoutsHandicapsMatos!$N$5=A531,1,0)</f>
        <v>0</v>
      </c>
      <c r="C531">
        <f>IF(AtoutsHandicapsMatos!$N$6=A531,1,0)</f>
        <v>0</v>
      </c>
      <c r="D531">
        <f>IF(AtoutsHandicapsMatos!$N$7=A531,1,0)</f>
        <v>0</v>
      </c>
      <c r="E531">
        <f>IF(AtoutsHandicapsMatos!$N$8=A531,1,0)</f>
        <v>0</v>
      </c>
      <c r="F531">
        <f>IF(AtoutsHandicapsMatos!$N$9=A531,1,0)</f>
        <v>0</v>
      </c>
      <c r="G531">
        <f>IF(AtoutsHandicapsMatos!$O$10=A531,1,0)</f>
        <v>0</v>
      </c>
      <c r="H531">
        <f>IF(AtoutsHandicapsMatos!$O$11=A531,1,0)</f>
        <v>0</v>
      </c>
      <c r="I531">
        <f>IF(AtoutsHandicapsMatos!$O$12=A531,1,0)</f>
        <v>0</v>
      </c>
      <c r="J531">
        <f>IF(AtoutsHandicapsMatos!$N$13=A531,1,0)</f>
        <v>0</v>
      </c>
      <c r="K531">
        <f>IF(AtoutsHandicapsMatos!$N$14=A531,1,0)</f>
        <v>0</v>
      </c>
      <c r="L531">
        <f>IF('Perso Reloaded'!$L$30=A531,1,0)</f>
        <v>0</v>
      </c>
      <c r="M531">
        <f>IF('Perso Reloaded'!$L$31=A531,1,0)</f>
        <v>0</v>
      </c>
      <c r="N531">
        <f>IF('Perso Reloaded'!$L$32=A531,1,0)</f>
        <v>0</v>
      </c>
      <c r="O531">
        <f>IF('Perso Reloaded'!$L$33=A531,1,0)</f>
        <v>0</v>
      </c>
      <c r="P531">
        <f>IF('Perso Reloaded'!$L$34=A531,1,0)</f>
        <v>0</v>
      </c>
      <c r="Q531">
        <f>IF('Perso Reloaded'!$L$35=A531,1,0)</f>
        <v>0</v>
      </c>
      <c r="R531">
        <f>IF('Perso Reloaded'!$L$36=A531,1,0)</f>
        <v>0</v>
      </c>
      <c r="S531">
        <f>IF('Perso Reloaded'!$L$37=A531,1,0)</f>
        <v>0</v>
      </c>
      <c r="T531">
        <f t="shared" si="39"/>
        <v>0</v>
      </c>
      <c r="U531" t="b">
        <f t="shared" si="38"/>
        <v>0</v>
      </c>
    </row>
    <row r="532" spans="1:21" x14ac:dyDescent="0.3">
      <c r="A532" s="65" t="s">
        <v>1414</v>
      </c>
      <c r="B532">
        <f>IF(AtoutsHandicapsMatos!$N$5=A532,1,0)</f>
        <v>0</v>
      </c>
      <c r="C532">
        <f>IF(AtoutsHandicapsMatos!$N$6=A532,1,0)</f>
        <v>0</v>
      </c>
      <c r="D532">
        <f>IF(AtoutsHandicapsMatos!$N$7=A532,1,0)</f>
        <v>0</v>
      </c>
      <c r="E532">
        <f>IF(AtoutsHandicapsMatos!$N$8=A532,1,0)</f>
        <v>0</v>
      </c>
      <c r="F532">
        <f>IF(AtoutsHandicapsMatos!$N$9=A532,1,0)</f>
        <v>0</v>
      </c>
      <c r="G532">
        <f>IF(AtoutsHandicapsMatos!$O$10=A532,1,0)</f>
        <v>0</v>
      </c>
      <c r="H532">
        <f>IF(AtoutsHandicapsMatos!$O$11=A532,1,0)</f>
        <v>0</v>
      </c>
      <c r="I532">
        <f>IF(AtoutsHandicapsMatos!$O$12=A532,1,0)</f>
        <v>0</v>
      </c>
      <c r="J532">
        <f>IF(AtoutsHandicapsMatos!$N$13=A532,1,0)</f>
        <v>0</v>
      </c>
      <c r="K532">
        <f>IF(AtoutsHandicapsMatos!$N$14=A532,1,0)</f>
        <v>0</v>
      </c>
      <c r="L532">
        <f>IF('Perso Reloaded'!$L$30=A532,1,0)</f>
        <v>0</v>
      </c>
      <c r="M532">
        <f>IF('Perso Reloaded'!$L$31=A532,1,0)</f>
        <v>0</v>
      </c>
      <c r="N532">
        <f>IF('Perso Reloaded'!$L$32=A532,1,0)</f>
        <v>0</v>
      </c>
      <c r="O532">
        <f>IF('Perso Reloaded'!$L$33=A532,1,0)</f>
        <v>0</v>
      </c>
      <c r="P532">
        <f>IF('Perso Reloaded'!$L$34=A532,1,0)</f>
        <v>0</v>
      </c>
      <c r="Q532">
        <f>IF('Perso Reloaded'!$L$35=A532,1,0)</f>
        <v>0</v>
      </c>
      <c r="R532">
        <f>IF('Perso Reloaded'!$L$36=A532,1,0)</f>
        <v>0</v>
      </c>
      <c r="S532">
        <f>IF('Perso Reloaded'!$L$37=A532,1,0)</f>
        <v>0</v>
      </c>
      <c r="T532">
        <f t="shared" si="39"/>
        <v>0</v>
      </c>
      <c r="U532" t="b">
        <f t="shared" si="38"/>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rgb="FF6CFB25"/>
  </sheetPr>
  <dimension ref="A1:AA54"/>
  <sheetViews>
    <sheetView topLeftCell="A10" zoomScale="115" zoomScaleNormal="115" workbookViewId="0">
      <selection activeCell="AA10" sqref="AA10"/>
    </sheetView>
  </sheetViews>
  <sheetFormatPr baseColWidth="10" defaultRowHeight="14.4" x14ac:dyDescent="0.3"/>
  <cols>
    <col min="1" max="1" width="1.109375" customWidth="1"/>
    <col min="2" max="2" width="12.44140625" customWidth="1"/>
    <col min="3" max="5" width="1.88671875" customWidth="1"/>
    <col min="7" max="9" width="1.88671875" customWidth="1"/>
    <col min="10" max="10" width="2.109375" customWidth="1"/>
    <col min="12" max="12" width="10.33203125" customWidth="1"/>
    <col min="13" max="15" width="1.88671875" customWidth="1"/>
    <col min="16" max="16" width="2.109375" customWidth="1"/>
    <col min="18" max="18" width="10.33203125" customWidth="1"/>
    <col min="19" max="21" width="1.88671875" customWidth="1"/>
    <col min="22" max="22" width="2.109375" customWidth="1"/>
    <col min="23" max="23" width="1.109375" customWidth="1"/>
    <col min="24" max="24" width="1" customWidth="1"/>
  </cols>
  <sheetData>
    <row r="1" spans="1:23" ht="4.95" customHeight="1" x14ac:dyDescent="0.3"/>
    <row r="2" spans="1:23" ht="30.6" customHeight="1" x14ac:dyDescent="0.3">
      <c r="B2" s="552"/>
      <c r="C2" s="552"/>
      <c r="D2" s="552"/>
      <c r="E2" s="552"/>
      <c r="F2" s="552"/>
      <c r="G2" s="552"/>
      <c r="H2" s="552"/>
      <c r="I2" s="552"/>
      <c r="J2" s="552"/>
      <c r="K2" s="552"/>
      <c r="L2" s="552"/>
      <c r="M2" s="552"/>
      <c r="N2" s="552"/>
      <c r="O2" s="552"/>
      <c r="P2" s="552"/>
      <c r="Q2" s="552"/>
      <c r="R2" s="552"/>
      <c r="S2" s="552"/>
      <c r="T2" s="552"/>
      <c r="U2" s="552"/>
      <c r="V2" s="552"/>
    </row>
    <row r="3" spans="1:23" ht="4.95" customHeight="1" thickBot="1" x14ac:dyDescent="0.35"/>
    <row r="4" spans="1:23" ht="14.4" customHeight="1" x14ac:dyDescent="0.3">
      <c r="B4" s="149" t="s">
        <v>1897</v>
      </c>
      <c r="C4" s="549"/>
      <c r="D4" s="483"/>
      <c r="E4" s="483"/>
      <c r="F4" s="483"/>
      <c r="G4" s="154" t="s">
        <v>3795</v>
      </c>
      <c r="H4" s="154"/>
      <c r="I4" s="154"/>
      <c r="J4" s="550"/>
      <c r="K4" s="551"/>
      <c r="L4" s="154" t="s">
        <v>1873</v>
      </c>
      <c r="M4" s="483"/>
      <c r="N4" s="483"/>
      <c r="O4" s="483"/>
      <c r="P4" s="483"/>
      <c r="Q4" s="131" t="s">
        <v>1874</v>
      </c>
      <c r="R4" s="483"/>
      <c r="S4" s="483"/>
      <c r="T4" s="483"/>
      <c r="U4" s="483"/>
      <c r="V4" s="484"/>
    </row>
    <row r="5" spans="1:23" ht="14.4" customHeight="1" x14ac:dyDescent="0.3">
      <c r="B5" s="150" t="s">
        <v>1872</v>
      </c>
      <c r="C5" s="491"/>
      <c r="D5" s="491"/>
      <c r="E5" s="491"/>
      <c r="F5" s="491"/>
      <c r="G5" s="129" t="s">
        <v>2</v>
      </c>
      <c r="H5" s="129"/>
      <c r="I5" s="129"/>
      <c r="J5" s="491"/>
      <c r="K5" s="491"/>
      <c r="L5" s="129" t="s">
        <v>4</v>
      </c>
      <c r="M5" s="489"/>
      <c r="N5" s="489"/>
      <c r="O5" s="489"/>
      <c r="P5" s="489"/>
      <c r="Q5" s="129" t="s">
        <v>6</v>
      </c>
      <c r="R5" s="489"/>
      <c r="S5" s="489"/>
      <c r="T5" s="489"/>
      <c r="U5" s="489"/>
      <c r="V5" s="490"/>
    </row>
    <row r="6" spans="1:23" ht="14.4" customHeight="1" x14ac:dyDescent="0.3">
      <c r="B6" s="128" t="s">
        <v>1</v>
      </c>
      <c r="C6" s="497"/>
      <c r="D6" s="498"/>
      <c r="E6" s="498"/>
      <c r="F6" s="499"/>
      <c r="G6" s="505" t="s">
        <v>3</v>
      </c>
      <c r="H6" s="506"/>
      <c r="I6" s="507"/>
      <c r="J6" s="500"/>
      <c r="K6" s="501"/>
      <c r="L6" s="129" t="s">
        <v>5</v>
      </c>
      <c r="M6" s="502"/>
      <c r="N6" s="503"/>
      <c r="O6" s="503"/>
      <c r="P6" s="504"/>
      <c r="Q6" s="130" t="s">
        <v>7</v>
      </c>
      <c r="R6" s="491"/>
      <c r="S6" s="491"/>
      <c r="T6" s="491"/>
      <c r="U6" s="491"/>
      <c r="V6" s="492"/>
    </row>
    <row r="7" spans="1:23" ht="14.4" customHeight="1" x14ac:dyDescent="0.3">
      <c r="B7" s="128" t="s">
        <v>299</v>
      </c>
      <c r="C7" s="491"/>
      <c r="D7" s="491"/>
      <c r="E7" s="491"/>
      <c r="F7" s="491"/>
      <c r="G7" s="505" t="s">
        <v>356</v>
      </c>
      <c r="H7" s="506"/>
      <c r="I7" s="507"/>
      <c r="J7" s="491"/>
      <c r="K7" s="491"/>
      <c r="L7" s="130" t="s">
        <v>1494</v>
      </c>
      <c r="M7" s="508"/>
      <c r="N7" s="509"/>
      <c r="O7" s="509"/>
      <c r="P7" s="510"/>
      <c r="Q7" s="129" t="s">
        <v>1177</v>
      </c>
      <c r="R7" s="491"/>
      <c r="S7" s="491"/>
      <c r="T7" s="491"/>
      <c r="U7" s="491"/>
      <c r="V7" s="492"/>
    </row>
    <row r="8" spans="1:23" ht="16.5" customHeight="1" thickBot="1" x14ac:dyDescent="0.35">
      <c r="B8" s="155" t="s">
        <v>300</v>
      </c>
      <c r="C8" s="511"/>
      <c r="D8" s="512"/>
      <c r="E8" s="512"/>
      <c r="F8" s="513"/>
      <c r="G8" s="514" t="s">
        <v>929</v>
      </c>
      <c r="H8" s="515"/>
      <c r="I8" s="516"/>
      <c r="J8" s="517"/>
      <c r="K8" s="518"/>
      <c r="L8" s="13" t="s">
        <v>1493</v>
      </c>
      <c r="M8" s="519"/>
      <c r="N8" s="520"/>
      <c r="O8" s="520"/>
      <c r="P8" s="520"/>
      <c r="Q8" s="520"/>
      <c r="R8" s="520"/>
      <c r="S8" s="520"/>
      <c r="T8" s="520"/>
      <c r="U8" s="520"/>
      <c r="V8" s="521"/>
    </row>
    <row r="9" spans="1:23" ht="3.75" customHeight="1" thickBot="1" x14ac:dyDescent="0.35"/>
    <row r="10" spans="1:23" ht="16.2" thickBot="1" x14ac:dyDescent="0.4">
      <c r="B10" s="494" t="s">
        <v>2953</v>
      </c>
      <c r="C10" s="495"/>
      <c r="D10" s="495"/>
      <c r="E10" s="495"/>
      <c r="F10" s="495"/>
      <c r="G10" s="495"/>
      <c r="H10" s="495"/>
      <c r="I10" s="495"/>
      <c r="J10" s="495"/>
      <c r="K10" s="495"/>
      <c r="L10" s="495"/>
      <c r="M10" s="495"/>
      <c r="N10" s="495"/>
      <c r="O10" s="495"/>
      <c r="P10" s="495"/>
      <c r="Q10" s="495"/>
      <c r="R10" s="495"/>
      <c r="S10" s="495"/>
      <c r="T10" s="495"/>
      <c r="U10" s="495"/>
      <c r="V10" s="496"/>
    </row>
    <row r="11" spans="1:23" ht="15.6" thickBot="1" x14ac:dyDescent="0.35">
      <c r="A11" s="22"/>
      <c r="B11" s="18" t="s">
        <v>31</v>
      </c>
      <c r="C11" s="493" t="s">
        <v>8</v>
      </c>
      <c r="D11" s="493"/>
      <c r="E11" s="493"/>
      <c r="F11" s="18" t="s">
        <v>9</v>
      </c>
      <c r="G11" s="493" t="s">
        <v>8</v>
      </c>
      <c r="H11" s="493"/>
      <c r="I11" s="493"/>
      <c r="J11" s="19" t="s">
        <v>22</v>
      </c>
      <c r="K11" s="18" t="s">
        <v>9</v>
      </c>
      <c r="L11" s="20" t="s">
        <v>10</v>
      </c>
      <c r="M11" s="493" t="s">
        <v>8</v>
      </c>
      <c r="N11" s="493"/>
      <c r="O11" s="493"/>
      <c r="P11" s="19" t="s">
        <v>22</v>
      </c>
      <c r="Q11" s="18" t="s">
        <v>9</v>
      </c>
      <c r="R11" s="20" t="s">
        <v>10</v>
      </c>
      <c r="S11" s="493" t="s">
        <v>8</v>
      </c>
      <c r="T11" s="493"/>
      <c r="U11" s="493"/>
      <c r="V11" s="21" t="s">
        <v>22</v>
      </c>
      <c r="W11" s="22"/>
    </row>
    <row r="12" spans="1:23" ht="15" thickBot="1" x14ac:dyDescent="0.35">
      <c r="A12" s="23">
        <f>IF(K12="Artillerie",1,IF(K12="Arts",2,0))</f>
        <v>1</v>
      </c>
      <c r="B12" s="485" t="s">
        <v>11</v>
      </c>
      <c r="C12" s="527"/>
      <c r="D12" s="528" t="s">
        <v>20</v>
      </c>
      <c r="E12" s="527"/>
      <c r="F12" s="8" t="s">
        <v>23</v>
      </c>
      <c r="G12" s="32">
        <v>1</v>
      </c>
      <c r="H12" s="9" t="str">
        <f>IF(F12="","","D")</f>
        <v>D</v>
      </c>
      <c r="I12" s="32" t="str">
        <f>IF(OR($E$12="",H12=""),"",$E$12)</f>
        <v/>
      </c>
      <c r="J12" s="41">
        <f>IF(Aux_Aguets=TRUE,2,0)-IF(Paumé=TRUE,2,0)+IF(sommeil=TRUE,2,0)-IF(dodo=TRUE,2,0)</f>
        <v>0</v>
      </c>
      <c r="K12" s="8" t="s">
        <v>68</v>
      </c>
      <c r="L12" s="25"/>
      <c r="M12" s="32"/>
      <c r="N12" s="9" t="str">
        <f>IF(K12="","","D")</f>
        <v>D</v>
      </c>
      <c r="O12" s="32" t="str">
        <f>IF(OR($E$12="",N12=""),"",$E$12)</f>
        <v/>
      </c>
      <c r="P12" s="41">
        <v>0</v>
      </c>
      <c r="Q12" s="8"/>
      <c r="R12" s="25"/>
      <c r="S12" s="32"/>
      <c r="T12" s="9" t="str">
        <f>IF(Q12="","","D")</f>
        <v/>
      </c>
      <c r="U12" s="32" t="str">
        <f>IF(OR($E$12="",T12=""),"",$E$12)</f>
        <v/>
      </c>
      <c r="V12" s="47">
        <v>0</v>
      </c>
      <c r="W12" s="23">
        <f>IF(Q12="Artillerie",1,IF(Q12="Arts",2,0))</f>
        <v>0</v>
      </c>
    </row>
    <row r="13" spans="1:23" ht="15" thickBot="1" x14ac:dyDescent="0.35">
      <c r="A13" s="23">
        <f t="shared" ref="A13:A15" si="0">IF(K13="Artillerie",1,IF(K13="Arts",2,0))</f>
        <v>2</v>
      </c>
      <c r="B13" s="485"/>
      <c r="C13" s="527"/>
      <c r="D13" s="528"/>
      <c r="E13" s="527"/>
      <c r="F13" s="5" t="s">
        <v>24</v>
      </c>
      <c r="G13" s="33"/>
      <c r="H13" s="4" t="str">
        <f t="shared" ref="H13:H31" si="1">IF(F13="","","D")</f>
        <v>D</v>
      </c>
      <c r="I13" s="33" t="str">
        <f t="shared" ref="I13:I15" si="2">IF(OR($E$12="",H13=""),"",$E$12)</f>
        <v/>
      </c>
      <c r="J13" s="42">
        <f>IF(Aux_Aguets=TRUE,2,0)-IF(Paumé=TRUE,2,0)</f>
        <v>0</v>
      </c>
      <c r="K13" s="5" t="s">
        <v>69</v>
      </c>
      <c r="L13" s="25"/>
      <c r="M13" s="33"/>
      <c r="N13" s="4" t="str">
        <f t="shared" ref="N13:N31" si="3">IF(K13="","","D")</f>
        <v>D</v>
      </c>
      <c r="O13" s="33" t="str">
        <f t="shared" ref="O13:O15" si="4">IF(OR($E$12="",N13=""),"",$E$12)</f>
        <v/>
      </c>
      <c r="P13" s="42">
        <v>0</v>
      </c>
      <c r="Q13" s="5"/>
      <c r="R13" s="25"/>
      <c r="S13" s="33"/>
      <c r="T13" s="4" t="str">
        <f t="shared" ref="T13:T31" si="5">IF(Q13="","","D")</f>
        <v/>
      </c>
      <c r="U13" s="33" t="str">
        <f t="shared" ref="U13:U15" si="6">IF(OR($E$12="",T13=""),"",$E$12)</f>
        <v/>
      </c>
      <c r="V13" s="48">
        <v>0</v>
      </c>
      <c r="W13" s="23">
        <f t="shared" ref="W13:W15" si="7">IF(Q13="Artillerie",1,IF(Q13="Arts",2,0))</f>
        <v>0</v>
      </c>
    </row>
    <row r="14" spans="1:23" ht="15" thickBot="1" x14ac:dyDescent="0.35">
      <c r="A14" s="23">
        <f t="shared" si="0"/>
        <v>0</v>
      </c>
      <c r="B14" s="485"/>
      <c r="C14" s="527"/>
      <c r="D14" s="528"/>
      <c r="E14" s="527"/>
      <c r="F14" s="5" t="s">
        <v>25</v>
      </c>
      <c r="G14" s="33"/>
      <c r="H14" s="4" t="str">
        <f t="shared" si="1"/>
        <v>D</v>
      </c>
      <c r="I14" s="33" t="str">
        <f t="shared" si="2"/>
        <v/>
      </c>
      <c r="J14" s="42">
        <f>IF(Aux_Aguets=TRUE,2,0)-IF(Paumé=TRUE,2,0)</f>
        <v>0</v>
      </c>
      <c r="K14" s="5"/>
      <c r="L14" s="25"/>
      <c r="M14" s="33"/>
      <c r="N14" s="4" t="str">
        <f t="shared" si="3"/>
        <v/>
      </c>
      <c r="O14" s="33" t="str">
        <f t="shared" si="4"/>
        <v/>
      </c>
      <c r="P14" s="42">
        <v>0</v>
      </c>
      <c r="Q14" s="5"/>
      <c r="R14" s="25"/>
      <c r="S14" s="33"/>
      <c r="T14" s="4" t="str">
        <f t="shared" si="5"/>
        <v/>
      </c>
      <c r="U14" s="33" t="str">
        <f t="shared" si="6"/>
        <v/>
      </c>
      <c r="V14" s="48">
        <v>0</v>
      </c>
      <c r="W14" s="23">
        <f t="shared" si="7"/>
        <v>0</v>
      </c>
    </row>
    <row r="15" spans="1:23" ht="15" thickBot="1" x14ac:dyDescent="0.35">
      <c r="A15" s="23">
        <f t="shared" si="0"/>
        <v>0</v>
      </c>
      <c r="B15" s="485"/>
      <c r="C15" s="527"/>
      <c r="D15" s="528"/>
      <c r="E15" s="527"/>
      <c r="F15" s="12"/>
      <c r="G15" s="34"/>
      <c r="H15" s="13" t="str">
        <f t="shared" si="1"/>
        <v/>
      </c>
      <c r="I15" s="34" t="str">
        <f t="shared" si="2"/>
        <v/>
      </c>
      <c r="J15" s="43">
        <v>0</v>
      </c>
      <c r="K15" s="12"/>
      <c r="L15" s="26"/>
      <c r="M15" s="34"/>
      <c r="N15" s="13" t="str">
        <f t="shared" si="3"/>
        <v/>
      </c>
      <c r="O15" s="34" t="str">
        <f t="shared" si="4"/>
        <v/>
      </c>
      <c r="P15" s="43">
        <v>0</v>
      </c>
      <c r="Q15" s="12"/>
      <c r="R15" s="26"/>
      <c r="S15" s="34"/>
      <c r="T15" s="13" t="str">
        <f t="shared" si="5"/>
        <v/>
      </c>
      <c r="U15" s="34" t="str">
        <f t="shared" si="6"/>
        <v/>
      </c>
      <c r="V15" s="49">
        <v>0</v>
      </c>
      <c r="W15" s="23">
        <f t="shared" si="7"/>
        <v>0</v>
      </c>
    </row>
    <row r="16" spans="1:23" x14ac:dyDescent="0.3">
      <c r="A16" s="23">
        <f>IF(K16="Carrière",1,IF(K16="Territoires",2,IF(K16="Langues",3,IF(K16="Métier",4,IF(K16="Médecine",5,IF(K16="Science",6,IF(K16="Universalis",7,0)))))))</f>
        <v>1</v>
      </c>
      <c r="B16" s="486" t="s">
        <v>21</v>
      </c>
      <c r="C16" s="542"/>
      <c r="D16" s="539" t="s">
        <v>20</v>
      </c>
      <c r="E16" s="532"/>
      <c r="F16" s="80" t="s">
        <v>26</v>
      </c>
      <c r="G16" s="35"/>
      <c r="H16" s="11" t="str">
        <f t="shared" si="1"/>
        <v>D</v>
      </c>
      <c r="I16" s="35" t="str">
        <f>IF(OR($E$16="",H16=""),"",IF(AND(Mome1=TRUE,$E$16=20),12,IF(AND(Mome1=TRUE,$E$16=12),10,IF(AND(Mome1=TRUE,$E$16=10),8,IF(AND(Mome1=TRUE,$E$16=8),6,IF(AND(Mome1=TRUE,$E$16=6),4,IF(AND(Mome1=TRUE,$E$16=4),4,IF(AND(Mome2=TRUE,$E$16=20),10,IF(AND(Mome2=TRUE,$E$16=12),8,IF(AND(Mome2=TRUE,$E$16=10),6,IF(AND(Mome2=TRUE,$E$16=8),4,IF(AND(Mome2=TRUE,$E$16=6),4,IF(AND(Mome2=TRUE,$E$16=4),4,$E$16)))))))))))))</f>
        <v/>
      </c>
      <c r="J16" s="44">
        <f>IF(Mdc=TRUE,-2,0)</f>
        <v>0</v>
      </c>
      <c r="K16" s="10" t="s">
        <v>28</v>
      </c>
      <c r="L16" s="27" t="str">
        <f>IF(R5="","",VLOOKUP(R5,Tableaux!AL:AM,2,FALSE))</f>
        <v/>
      </c>
      <c r="M16" s="35"/>
      <c r="N16" s="11" t="str">
        <f t="shared" si="3"/>
        <v>D</v>
      </c>
      <c r="O16" s="35" t="str">
        <f>IF(OR($E$16="",N16=""),"",IF(AND(Mome1=TRUE,$E$16=20),12,IF(AND(Mome1=TRUE,$E$16=12),10,IF(AND(Mome1=TRUE,$E$16=10),8,IF(AND(Mome1=TRUE,$E$16=8),6,IF(AND(Mome1=TRUE,$E$16=6),4,IF(AND(Mome1=TRUE,$E$16=4),4,IF(AND(Mome2=TRUE,$E$16=20),10,IF(AND(Mome2=TRUE,$E$16=12),8,IF(AND(Mome2=TRUE,$E$16=10),6,IF(AND(Mome2=TRUE,$E$16=8),4,IF(AND(Mome2=TRUE,$E$16=6),4,IF(AND(Mome2=TRUE,$E$16=4),4,$E$16)))))))))))))</f>
        <v/>
      </c>
      <c r="P16" s="44">
        <f>IF(AND(L16="Science Folle",mécano=TRUE),2,0)</f>
        <v>0</v>
      </c>
      <c r="Q16" s="10" t="s">
        <v>33</v>
      </c>
      <c r="R16" s="27"/>
      <c r="S16" s="35"/>
      <c r="T16" s="11" t="str">
        <f t="shared" si="5"/>
        <v>D</v>
      </c>
      <c r="U16" s="35" t="str">
        <f>IF(OR($E$16="",T16=""),"",IF(AND(Mome1=TRUE,$E$16=20),12,IF(AND(Mome1=TRUE,$E$16=12),10,IF(AND(Mome1=TRUE,$E$16=10),8,IF(AND(Mome1=TRUE,$E$16=8),6,IF(AND(Mome1=TRUE,$E$16=6),4,IF(AND(Mome1=TRUE,$E$16=4),4,IF(AND(Mome2=TRUE,$E$16=20),10,IF(AND(Mome2=TRUE,$E$16=12),8,IF(AND(Mome2=TRUE,$E$16=10),6,IF(AND(Mome2=TRUE,$E$16=8),4,IF(AND(Mome2=TRUE,$E$16=6),4,IF(AND(Mome2=TRUE,$E$16=4),4,$E$16)))))))))))))</f>
        <v/>
      </c>
      <c r="V16" s="50">
        <f>IF(AND(R16="Science Folle",mécano=TRUE),2,0)</f>
        <v>0</v>
      </c>
      <c r="W16" s="23">
        <f>IF(Q16="Carrière",1,IF(Q16="Territoires",2,IF(Q16="Langues",3,IF(Q16="Métier",4,IF(Q16="Médecine",5,IF(Q16="Science",6,IF(Q16="Universalis",7,0)))))))</f>
        <v>5</v>
      </c>
    </row>
    <row r="17" spans="1:23" ht="15.6" customHeight="1" x14ac:dyDescent="0.3">
      <c r="A17" s="23">
        <f t="shared" ref="A17:A20" si="8">IF(K17="Carrière",1,IF(K17="Territoires",2,IF(K17="Langues",3,IF(K17="Métier",4,IF(K17="Médecine",5,IF(K17="Science",6,IF(K17="Universalis",7,0)))))))</f>
        <v>2</v>
      </c>
      <c r="B17" s="487"/>
      <c r="C17" s="543"/>
      <c r="D17" s="540"/>
      <c r="E17" s="533"/>
      <c r="F17" s="6" t="s">
        <v>27</v>
      </c>
      <c r="G17" s="36"/>
      <c r="H17" s="11" t="str">
        <f t="shared" si="1"/>
        <v>D</v>
      </c>
      <c r="I17" s="35" t="str">
        <f>IF(OR($E$16="",H17=""),"",IF(AND(Mome1=TRUE,$E$16=20),12,IF(AND(Mome1=TRUE,$E$16=12),10,IF(AND(Mome1=TRUE,$E$16=10),8,IF(AND(Mome1=TRUE,$E$16=8),6,IF(AND(Mome1=TRUE,$E$16=6),4,IF(AND(Mome1=TRUE,$E$16=4),4,IF(AND(Mome2=TRUE,$E$16=20),10,IF(AND(Mome2=TRUE,$E$16=12),8,IF(AND(Mome2=TRUE,$E$16=10),6,IF(AND(Mome2=TRUE,$E$16=8),4,IF(AND(Mome2=TRUE,$E$16=6),4,IF(AND(Mome2=TRUE,$E$16=4),4,$E$16)))))))))))))</f>
        <v/>
      </c>
      <c r="J17" s="45">
        <v>0</v>
      </c>
      <c r="K17" s="6" t="s">
        <v>29</v>
      </c>
      <c r="L17" s="27"/>
      <c r="M17" s="123">
        <v>2</v>
      </c>
      <c r="N17" s="3" t="str">
        <f t="shared" si="3"/>
        <v>D</v>
      </c>
      <c r="O17" s="35" t="str">
        <f>IF(OR($E$16="",N17=""),"",IF(AND(Mome1=TRUE,$E$16=20),12,IF(AND(Mome1=TRUE,$E$16=12),10,IF(AND(Mome1=TRUE,$E$16=10),8,IF(AND(Mome1=TRUE,$E$16=8),6,IF(AND(Mome1=TRUE,$E$16=6),4,IF(AND(Mome1=TRUE,$E$16=4),4,IF(AND(Mome2=TRUE,$E$16=20),10,IF(AND(Mome2=TRUE,$E$16=12),8,IF(AND(Mome2=TRUE,$E$16=10),6,IF(AND(Mome2=TRUE,$E$16=8),4,IF(AND(Mome2=TRUE,$E$16=6),4,IF(AND(Mome2=TRUE,$E$16=4),4,$E$16)))))))))))))</f>
        <v/>
      </c>
      <c r="P17" s="44">
        <f>IF(AND(L17="Science Folle",mécano=TRUE),2,0)</f>
        <v>0</v>
      </c>
      <c r="Q17" s="6" t="s">
        <v>34</v>
      </c>
      <c r="R17" s="27"/>
      <c r="S17" s="36"/>
      <c r="T17" s="3" t="str">
        <f t="shared" si="5"/>
        <v>D</v>
      </c>
      <c r="U17" s="35" t="str">
        <f>IF(OR($E$16="",T17=""),"",IF(AND(Mome1=TRUE,$E$16=20),12,IF(AND(Mome1=TRUE,$E$16=12),10,IF(AND(Mome1=TRUE,$E$16=10),8,IF(AND(Mome1=TRUE,$E$16=8),6,IF(AND(Mome1=TRUE,$E$16=6),4,IF(AND(Mome1=TRUE,$E$16=4),4,IF(AND(Mome2=TRUE,$E$16=20),10,IF(AND(Mome2=TRUE,$E$16=12),8,IF(AND(Mome2=TRUE,$E$16=10),6,IF(AND(Mome2=TRUE,$E$16=8),4,IF(AND(Mome2=TRUE,$E$16=6),4,IF(AND(Mome2=TRUE,$E$16=4),4,$E$16)))))))))))))</f>
        <v/>
      </c>
      <c r="V17" s="50">
        <f>IF(AND(R17="Science Folle",mécano=TRUE),2,0)</f>
        <v>0</v>
      </c>
      <c r="W17" s="23">
        <f t="shared" ref="W17:W20" si="9">IF(Q17="Carrière",1,IF(Q17="Territoires",2,IF(Q17="Langues",3,IF(Q17="Métier",4,IF(Q17="Médecine",5,IF(Q17="Science",6,IF(Q17="Universalis",7,0)))))))</f>
        <v>6</v>
      </c>
    </row>
    <row r="18" spans="1:23" ht="15.6" customHeight="1" x14ac:dyDescent="0.3">
      <c r="A18" s="23">
        <f t="shared" si="8"/>
        <v>3</v>
      </c>
      <c r="B18" s="487"/>
      <c r="C18" s="543"/>
      <c r="D18" s="540"/>
      <c r="E18" s="533"/>
      <c r="F18" s="6"/>
      <c r="G18" s="36"/>
      <c r="H18" s="11" t="str">
        <f t="shared" si="1"/>
        <v/>
      </c>
      <c r="I18" s="35" t="str">
        <f>IF(OR($E$16="",H18=""),"",IF(AND(Mome1=TRUE,$E$16=20),12,IF(AND(Mome1=TRUE,$E$16=12),10,IF(AND(Mome1=TRUE,$E$16=10),8,IF(AND(Mome1=TRUE,$E$16=8),6,IF(AND(Mome1=TRUE,$E$16=6),4,IF(AND(Mome1=TRUE,$E$16=4),4,IF(AND(Mome2=TRUE,$E$16=20),10,IF(AND(Mome2=TRUE,$E$16=12),8,IF(AND(Mome2=TRUE,$E$16=10),6,IF(AND(Mome2=TRUE,$E$16=8),4,IF(AND(Mome2=TRUE,$E$16=6),4,IF(AND(Mome2=TRUE,$E$16=4),4,$E$16)))))))))))))</f>
        <v/>
      </c>
      <c r="J18" s="45">
        <v>0</v>
      </c>
      <c r="K18" s="6" t="s">
        <v>30</v>
      </c>
      <c r="L18" s="27"/>
      <c r="M18" s="123">
        <v>2</v>
      </c>
      <c r="N18" s="3" t="str">
        <f t="shared" si="3"/>
        <v>D</v>
      </c>
      <c r="O18" s="35" t="str">
        <f>IF(OR($E$16="",N18=""),"",IF(AND(Mome1=TRUE,$E$16=20),12,IF(AND(Mome1=TRUE,$E$16=12),10,IF(AND(Mome1=TRUE,$E$16=10),8,IF(AND(Mome1=TRUE,$E$16=8),6,IF(AND(Mome1=TRUE,$E$16=6),4,IF(AND(Mome1=TRUE,$E$16=4),4,IF(AND(Mome2=TRUE,$E$16=20),10,IF(AND(Mome2=TRUE,$E$16=12),8,IF(AND(Mome2=TRUE,$E$16=10),6,IF(AND(Mome2=TRUE,$E$16=8),4,IF(AND(Mome2=TRUE,$E$16=6),4,IF(AND(Mome2=TRUE,$E$16=4),4,$E$16)))))))))))))</f>
        <v/>
      </c>
      <c r="P18" s="44">
        <f>IF(AND(L18="Science Folle",mécano=TRUE),2,0)</f>
        <v>0</v>
      </c>
      <c r="Q18" s="6" t="s">
        <v>35</v>
      </c>
      <c r="R18" s="27"/>
      <c r="S18" s="36"/>
      <c r="T18" s="3" t="str">
        <f t="shared" si="5"/>
        <v>D</v>
      </c>
      <c r="U18" s="35" t="str">
        <f>IF(OR($E$16="",T18=""),"",IF(AND(Mome1=TRUE,$E$16=20),12,IF(AND(Mome1=TRUE,$E$16=12),10,IF(AND(Mome1=TRUE,$E$16=10),8,IF(AND(Mome1=TRUE,$E$16=8),6,IF(AND(Mome1=TRUE,$E$16=6),4,IF(AND(Mome1=TRUE,$E$16=4),4,IF(AND(Mome2=TRUE,$E$16=20),10,IF(AND(Mome2=TRUE,$E$16=12),8,IF(AND(Mome2=TRUE,$E$16=10),6,IF(AND(Mome2=TRUE,$E$16=8),4,IF(AND(Mome2=TRUE,$E$16=6),4,IF(AND(Mome2=TRUE,$E$16=4),4,$E$16)))))))))))))</f>
        <v/>
      </c>
      <c r="V18" s="50">
        <f>IF(AND(R18="Science Folle",mécano=TRUE),2,0)</f>
        <v>0</v>
      </c>
      <c r="W18" s="23">
        <f t="shared" si="9"/>
        <v>7</v>
      </c>
    </row>
    <row r="19" spans="1:23" ht="15.6" customHeight="1" x14ac:dyDescent="0.3">
      <c r="A19" s="23">
        <f t="shared" si="8"/>
        <v>0</v>
      </c>
      <c r="B19" s="487"/>
      <c r="C19" s="543"/>
      <c r="D19" s="540"/>
      <c r="E19" s="533"/>
      <c r="F19" s="6"/>
      <c r="G19" s="36"/>
      <c r="H19" s="11" t="str">
        <f t="shared" si="1"/>
        <v/>
      </c>
      <c r="I19" s="35" t="str">
        <f>IF(OR($E$16="",H19=""),"",IF(AND(Mome1=TRUE,$E$16=20),12,IF(AND(Mome1=TRUE,$E$16=12),10,IF(AND(Mome1=TRUE,$E$16=10),8,IF(AND(Mome1=TRUE,$E$16=8),6,IF(AND(Mome1=TRUE,$E$16=6),4,IF(AND(Mome1=TRUE,$E$16=4),4,IF(AND(Mome2=TRUE,$E$16=20),10,IF(AND(Mome2=TRUE,$E$16=12),8,IF(AND(Mome2=TRUE,$E$16=10),6,IF(AND(Mome2=TRUE,$E$16=8),4,IF(AND(Mome2=TRUE,$E$16=6),4,IF(AND(Mome2=TRUE,$E$16=4),4,$E$16)))))))))))))</f>
        <v/>
      </c>
      <c r="J19" s="45">
        <v>0</v>
      </c>
      <c r="K19" s="6"/>
      <c r="L19" s="27"/>
      <c r="M19" s="36"/>
      <c r="N19" s="3" t="str">
        <f t="shared" ref="N19:N20" si="10">IF(K19="","","D")</f>
        <v/>
      </c>
      <c r="O19" s="35" t="str">
        <f>IF(OR($E$16="",N19=""),"",IF(AND(Mome1=TRUE,$E$16=20),12,IF(AND(Mome1=TRUE,$E$16=12),10,IF(AND(Mome1=TRUE,$E$16=10),8,IF(AND(Mome1=TRUE,$E$16=8),6,IF(AND(Mome1=TRUE,$E$16=6),4,IF(AND(Mome1=TRUE,$E$16=4),4,IF(AND(Mome2=TRUE,$E$16=20),10,IF(AND(Mome2=TRUE,$E$16=12),8,IF(AND(Mome2=TRUE,$E$16=10),6,IF(AND(Mome2=TRUE,$E$16=8),4,IF(AND(Mome2=TRUE,$E$16=6),4,IF(AND(Mome2=TRUE,$E$16=4),4,$E$16)))))))))))))</f>
        <v/>
      </c>
      <c r="P19" s="44">
        <f>IF(AND(L19="Science Folle",mécano=TRUE),2,0)</f>
        <v>0</v>
      </c>
      <c r="Q19" s="6"/>
      <c r="R19" s="27"/>
      <c r="S19" s="36"/>
      <c r="T19" s="3" t="str">
        <f t="shared" ref="T19:T20" si="11">IF(Q19="","","D")</f>
        <v/>
      </c>
      <c r="U19" s="35" t="str">
        <f>IF(OR($E$16="",T19=""),"",IF(AND(Mome1=TRUE,$E$16=20),12,IF(AND(Mome1=TRUE,$E$16=12),10,IF(AND(Mome1=TRUE,$E$16=10),8,IF(AND(Mome1=TRUE,$E$16=8),6,IF(AND(Mome1=TRUE,$E$16=6),4,IF(AND(Mome1=TRUE,$E$16=4),4,IF(AND(Mome2=TRUE,$E$16=20),10,IF(AND(Mome2=TRUE,$E$16=12),8,IF(AND(Mome2=TRUE,$E$16=10),6,IF(AND(Mome2=TRUE,$E$16=8),4,IF(AND(Mome2=TRUE,$E$16=6),4,IF(AND(Mome2=TRUE,$E$16=4),4,$E$16)))))))))))))</f>
        <v/>
      </c>
      <c r="V19" s="50">
        <f>IF(AND(R19="Science Folle",mécano=TRUE),2,0)</f>
        <v>0</v>
      </c>
      <c r="W19" s="23">
        <f t="shared" si="9"/>
        <v>0</v>
      </c>
    </row>
    <row r="20" spans="1:23" ht="15.6" customHeight="1" thickBot="1" x14ac:dyDescent="0.35">
      <c r="A20" s="23">
        <f t="shared" si="8"/>
        <v>0</v>
      </c>
      <c r="B20" s="488"/>
      <c r="C20" s="544"/>
      <c r="D20" s="541"/>
      <c r="E20" s="534"/>
      <c r="F20" s="14"/>
      <c r="G20" s="37"/>
      <c r="H20" s="37" t="str">
        <f t="shared" si="1"/>
        <v/>
      </c>
      <c r="I20" s="37" t="str">
        <f>IF(OR($E$16="",H20=""),"",IF(AND(Mome1=TRUE,$E$16=20),12,IF(AND(Mome1=TRUE,$E$16=12),10,IF(AND(Mome1=TRUE,$E$16=10),8,IF(AND(Mome1=TRUE,$E$16=8),6,IF(AND(Mome1=TRUE,$E$16=6),4,IF(AND(Mome1=TRUE,$E$16=4),4,IF(AND(Mome2=TRUE,$E$16=20),10,IF(AND(Mome2=TRUE,$E$16=12),8,IF(AND(Mome2=TRUE,$E$16=10),6,IF(AND(Mome2=TRUE,$E$16=8),4,IF(AND(Mome2=TRUE,$E$16=6),4,IF(AND(Mome2=TRUE,$E$16=4),4,$E$16)))))))))))))</f>
        <v/>
      </c>
      <c r="J20" s="46">
        <v>0</v>
      </c>
      <c r="K20" s="14"/>
      <c r="L20" s="28"/>
      <c r="M20" s="37"/>
      <c r="N20" s="15" t="str">
        <f t="shared" si="10"/>
        <v/>
      </c>
      <c r="O20" s="15" t="str">
        <f>IF(OR($E$16="",N20=""),"",IF(AND(Mome1=TRUE,$E$16=20),12,IF(AND(Mome1=TRUE,$E$16=12),10,IF(AND(Mome1=TRUE,$E$16=10),8,IF(AND(Mome1=TRUE,$E$16=8),6,IF(AND(Mome1=TRUE,$E$16=6),4,IF(AND(Mome1=TRUE,$E$16=4),4,IF(AND(Mome2=TRUE,$E$16=20),10,IF(AND(Mome2=TRUE,$E$16=12),8,IF(AND(Mome2=TRUE,$E$16=10),6,IF(AND(Mome2=TRUE,$E$16=8),4,IF(AND(Mome2=TRUE,$E$16=6),4,IF(AND(Mome2=TRUE,$E$16=4),4,$E$16)))))))))))))</f>
        <v/>
      </c>
      <c r="P20" s="51">
        <f>IF(AND(L20="Science Folle",mécano=TRUE),2,0)</f>
        <v>0</v>
      </c>
      <c r="Q20" s="14"/>
      <c r="R20" s="28"/>
      <c r="S20" s="37"/>
      <c r="T20" s="15" t="str">
        <f t="shared" si="11"/>
        <v/>
      </c>
      <c r="U20" s="37" t="str">
        <f>IF(OR($E$16="",T20=""),"",IF(AND(Mome1=TRUE,$E$16=20),12,IF(AND(Mome1=TRUE,$E$16=12),10,IF(AND(Mome1=TRUE,$E$16=10),8,IF(AND(Mome1=TRUE,$E$16=8),6,IF(AND(Mome1=TRUE,$E$16=6),4,IF(AND(Mome1=TRUE,$E$16=4),4,IF(AND(Mome2=TRUE,$E$16=20),10,IF(AND(Mome2=TRUE,$E$16=12),8,IF(AND(Mome2=TRUE,$E$16=10),6,IF(AND(Mome2=TRUE,$E$16=8),4,IF(AND(Mome2=TRUE,$E$16=6),4,IF(AND(Mome2=TRUE,$E$16=4),4,$E$16)))))))))))))</f>
        <v/>
      </c>
      <c r="V20" s="51">
        <f>IF(AND(R20="Science Folle",mécano=TRUE),2,0)</f>
        <v>0</v>
      </c>
      <c r="W20" s="23">
        <f t="shared" si="9"/>
        <v>0</v>
      </c>
    </row>
    <row r="21" spans="1:23" ht="15" thickBot="1" x14ac:dyDescent="0.35">
      <c r="A21" s="23">
        <f>IF(K21="Survie",1,IF(K21="Jeux",2,0))</f>
        <v>1</v>
      </c>
      <c r="B21" s="535" t="s">
        <v>12</v>
      </c>
      <c r="C21" s="527"/>
      <c r="D21" s="528" t="s">
        <v>20</v>
      </c>
      <c r="E21" s="527"/>
      <c r="F21" s="8" t="s">
        <v>36</v>
      </c>
      <c r="G21" s="32"/>
      <c r="H21" s="9" t="str">
        <f t="shared" si="1"/>
        <v>D</v>
      </c>
      <c r="I21" s="32" t="str">
        <f t="shared" ref="I21:I26" si="12">IF(OR($E$21="",H21=""),"",$E$21)</f>
        <v/>
      </c>
      <c r="J21" s="41">
        <f>IF(mécano=TRUE,2,0)+IF(dmg=TRUE,-2,0)</f>
        <v>0</v>
      </c>
      <c r="K21" s="8" t="s">
        <v>41</v>
      </c>
      <c r="L21" s="25"/>
      <c r="M21" s="32"/>
      <c r="N21" s="9" t="str">
        <f t="shared" si="3"/>
        <v>D</v>
      </c>
      <c r="O21" s="32" t="str">
        <f>IF(OR($E$21="",N21=""),"",$E$21)</f>
        <v/>
      </c>
      <c r="P21" s="41">
        <v>0</v>
      </c>
      <c r="Q21" s="8"/>
      <c r="R21" s="25"/>
      <c r="S21" s="32"/>
      <c r="T21" s="9" t="str">
        <f t="shared" si="5"/>
        <v/>
      </c>
      <c r="U21" s="32" t="str">
        <f>IF(OR($E$21="",T21=""),"",$E$21)</f>
        <v/>
      </c>
      <c r="V21" s="47">
        <v>0</v>
      </c>
      <c r="W21" s="277">
        <f>IF(Q21="Survie",1,IF(Q21="Jeux",2,0))</f>
        <v>0</v>
      </c>
    </row>
    <row r="22" spans="1:23" ht="15" thickBot="1" x14ac:dyDescent="0.35">
      <c r="A22" s="23">
        <f t="shared" ref="A22:A26" si="13">IF(K22="Survie",1,IF(K22="Jeux",2,0))</f>
        <v>2</v>
      </c>
      <c r="B22" s="535"/>
      <c r="C22" s="527"/>
      <c r="D22" s="528"/>
      <c r="E22" s="527"/>
      <c r="F22" s="5" t="s">
        <v>37</v>
      </c>
      <c r="G22" s="33"/>
      <c r="H22" s="4" t="str">
        <f t="shared" si="1"/>
        <v>D</v>
      </c>
      <c r="I22" s="33" t="str">
        <f t="shared" si="12"/>
        <v/>
      </c>
      <c r="J22" s="42">
        <f>IF(Mdc=TRUE,-2,0)-IF(Menteur,4,0)</f>
        <v>0</v>
      </c>
      <c r="K22" s="5" t="s">
        <v>40</v>
      </c>
      <c r="L22" s="25"/>
      <c r="M22" s="33"/>
      <c r="N22" s="4" t="str">
        <f t="shared" si="3"/>
        <v>D</v>
      </c>
      <c r="O22" s="33" t="str">
        <f t="shared" ref="O22:O26" si="14">IF(OR($E$21="",N22=""),"",$E$21)</f>
        <v/>
      </c>
      <c r="P22" s="42">
        <v>0</v>
      </c>
      <c r="Q22" s="5"/>
      <c r="R22" s="25"/>
      <c r="S22" s="33"/>
      <c r="T22" s="4" t="str">
        <f t="shared" si="5"/>
        <v/>
      </c>
      <c r="U22" s="33" t="str">
        <f t="shared" ref="U22:U26" si="15">IF(OR($E$21="",T22=""),"",$E$21)</f>
        <v/>
      </c>
      <c r="V22" s="48">
        <v>0</v>
      </c>
      <c r="W22" s="277">
        <f t="shared" ref="W22:W26" si="16">IF(Q22="Survie",1,IF(Q22="Jeux",2,0))</f>
        <v>0</v>
      </c>
    </row>
    <row r="23" spans="1:23" ht="15" thickBot="1" x14ac:dyDescent="0.35">
      <c r="A23" s="23">
        <f t="shared" si="13"/>
        <v>0</v>
      </c>
      <c r="B23" s="535"/>
      <c r="C23" s="527"/>
      <c r="D23" s="528"/>
      <c r="E23" s="527"/>
      <c r="F23" s="7" t="s">
        <v>38</v>
      </c>
      <c r="G23" s="33"/>
      <c r="H23" s="4" t="str">
        <f t="shared" si="1"/>
        <v>D</v>
      </c>
      <c r="I23" s="33" t="str">
        <f t="shared" si="12"/>
        <v/>
      </c>
      <c r="J23" s="42">
        <v>0</v>
      </c>
      <c r="K23" s="5"/>
      <c r="L23" s="25"/>
      <c r="M23" s="33"/>
      <c r="N23" s="4" t="str">
        <f t="shared" si="3"/>
        <v/>
      </c>
      <c r="O23" s="33" t="str">
        <f t="shared" si="14"/>
        <v/>
      </c>
      <c r="P23" s="42">
        <v>0</v>
      </c>
      <c r="Q23" s="5"/>
      <c r="R23" s="25"/>
      <c r="S23" s="33"/>
      <c r="T23" s="4" t="str">
        <f t="shared" si="5"/>
        <v/>
      </c>
      <c r="U23" s="33" t="str">
        <f t="shared" si="15"/>
        <v/>
      </c>
      <c r="V23" s="48">
        <v>0</v>
      </c>
      <c r="W23" s="277">
        <f t="shared" si="16"/>
        <v>0</v>
      </c>
    </row>
    <row r="24" spans="1:23" ht="15" thickBot="1" x14ac:dyDescent="0.35">
      <c r="A24" s="23">
        <f t="shared" si="13"/>
        <v>0</v>
      </c>
      <c r="B24" s="535"/>
      <c r="C24" s="527"/>
      <c r="D24" s="528"/>
      <c r="E24" s="527"/>
      <c r="F24" s="5" t="s">
        <v>39</v>
      </c>
      <c r="G24" s="33"/>
      <c r="H24" s="4" t="str">
        <f t="shared" si="1"/>
        <v>D</v>
      </c>
      <c r="I24" s="33" t="str">
        <f t="shared" si="12"/>
        <v/>
      </c>
      <c r="J24" s="42">
        <v>0</v>
      </c>
      <c r="K24" s="5"/>
      <c r="L24" s="25"/>
      <c r="M24" s="33"/>
      <c r="N24" s="4" t="str">
        <f t="shared" si="3"/>
        <v/>
      </c>
      <c r="O24" s="33" t="str">
        <f t="shared" si="14"/>
        <v/>
      </c>
      <c r="P24" s="42">
        <v>0</v>
      </c>
      <c r="Q24" s="5"/>
      <c r="R24" s="25"/>
      <c r="S24" s="33"/>
      <c r="T24" s="4" t="str">
        <f t="shared" si="5"/>
        <v/>
      </c>
      <c r="U24" s="33" t="str">
        <f t="shared" si="15"/>
        <v/>
      </c>
      <c r="V24" s="48">
        <v>0</v>
      </c>
      <c r="W24" s="277">
        <f t="shared" si="16"/>
        <v>0</v>
      </c>
    </row>
    <row r="25" spans="1:23" ht="15" thickBot="1" x14ac:dyDescent="0.35">
      <c r="A25" s="23">
        <f t="shared" si="13"/>
        <v>0</v>
      </c>
      <c r="B25" s="535"/>
      <c r="C25" s="527"/>
      <c r="D25" s="528"/>
      <c r="E25" s="527"/>
      <c r="F25" s="5" t="s">
        <v>42</v>
      </c>
      <c r="G25" s="33"/>
      <c r="H25" s="4" t="str">
        <f>IF(F25="","","D")</f>
        <v>D</v>
      </c>
      <c r="I25" s="33" t="str">
        <f t="shared" si="12"/>
        <v/>
      </c>
      <c r="J25" s="42">
        <v>0</v>
      </c>
      <c r="K25" s="5"/>
      <c r="L25" s="25"/>
      <c r="M25" s="33"/>
      <c r="N25" s="4" t="str">
        <f t="shared" si="3"/>
        <v/>
      </c>
      <c r="O25" s="33" t="str">
        <f t="shared" si="14"/>
        <v/>
      </c>
      <c r="P25" s="42">
        <v>0</v>
      </c>
      <c r="Q25" s="5"/>
      <c r="R25" s="25"/>
      <c r="S25" s="33"/>
      <c r="T25" s="4" t="str">
        <f t="shared" si="5"/>
        <v/>
      </c>
      <c r="U25" s="33" t="str">
        <f t="shared" si="15"/>
        <v/>
      </c>
      <c r="V25" s="48">
        <v>0</v>
      </c>
      <c r="W25" s="277">
        <f t="shared" si="16"/>
        <v>0</v>
      </c>
    </row>
    <row r="26" spans="1:23" ht="15" thickBot="1" x14ac:dyDescent="0.35">
      <c r="A26" s="23">
        <f t="shared" si="13"/>
        <v>0</v>
      </c>
      <c r="B26" s="535"/>
      <c r="C26" s="527"/>
      <c r="D26" s="528"/>
      <c r="E26" s="527"/>
      <c r="F26" s="12"/>
      <c r="G26" s="34"/>
      <c r="H26" s="13" t="str">
        <f>IF(F26="","","D")</f>
        <v/>
      </c>
      <c r="I26" s="34" t="str">
        <f t="shared" si="12"/>
        <v/>
      </c>
      <c r="J26" s="43">
        <f>IF(Voix_mo=TRUE,2,0)-IF(Mdc=TRUE,2,0)</f>
        <v>0</v>
      </c>
      <c r="K26" s="12"/>
      <c r="L26" s="29"/>
      <c r="M26" s="34"/>
      <c r="N26" s="13" t="str">
        <f t="shared" si="3"/>
        <v/>
      </c>
      <c r="O26" s="34" t="str">
        <f t="shared" si="14"/>
        <v/>
      </c>
      <c r="P26" s="43">
        <v>0</v>
      </c>
      <c r="Q26" s="12"/>
      <c r="R26" s="29"/>
      <c r="S26" s="34"/>
      <c r="T26" s="13" t="str">
        <f t="shared" si="5"/>
        <v/>
      </c>
      <c r="U26" s="34" t="str">
        <f t="shared" si="15"/>
        <v/>
      </c>
      <c r="V26" s="49">
        <v>0</v>
      </c>
      <c r="W26" s="277">
        <f t="shared" si="16"/>
        <v>0</v>
      </c>
    </row>
    <row r="27" spans="1:23" ht="15" thickBot="1" x14ac:dyDescent="0.35">
      <c r="A27" s="23">
        <f>IF(K27="Dressage",1,IF(K27="Spectacle",2,0))</f>
        <v>1</v>
      </c>
      <c r="B27" s="546" t="s">
        <v>13</v>
      </c>
      <c r="C27" s="526"/>
      <c r="D27" s="525" t="s">
        <v>20</v>
      </c>
      <c r="E27" s="526"/>
      <c r="F27" s="10" t="s">
        <v>43</v>
      </c>
      <c r="G27" s="35"/>
      <c r="H27" s="11" t="str">
        <f t="shared" si="1"/>
        <v>D</v>
      </c>
      <c r="I27" s="38" t="str">
        <f>IF(OR($E$27="",H27=""),"",$E$27)</f>
        <v/>
      </c>
      <c r="J27" s="44">
        <f>IF(Aura1=TRUE,-1,IF(Aura2=TRUE,-2,IF(Aura3=TRUE,-3,IF(Aura4=TRUE,-4,IF(Aura5=TRUE,-5,0)))))-IF(Mdc=TRUE,2,0)</f>
        <v>0</v>
      </c>
      <c r="K27" s="10" t="s">
        <v>70</v>
      </c>
      <c r="L27" s="27"/>
      <c r="M27" s="35"/>
      <c r="N27" s="11" t="str">
        <f t="shared" si="3"/>
        <v>D</v>
      </c>
      <c r="O27" s="38" t="str">
        <f>IF(OR($E$27="",N27=""),"",$E$27)</f>
        <v/>
      </c>
      <c r="P27" s="44">
        <f>IF(AND(K27="Dressage",Inodore=TRUE),2,0)+IF(AND(K27="Dressage",Dégen0=TRUE),-2,IF(AND(K27="Dressage",Dégen1=TRUE),-2,IF(AND(K27="Dressage",Dégen2=TRUE),-4,IF(AND(K27="Dressage",Dégen3=TRUE),-6,IF(AND(K27="Dressage",Dégen4=TRUE),-20,IF(AND(K27="Dressage",Dégen5=TRUE),-4,0))))))-IF(Mdc=TRUE,2,0)-IF(AND(K27="Dressage",Puant=TRUE),2,0)</f>
        <v>0</v>
      </c>
      <c r="Q27" s="10"/>
      <c r="R27" s="27"/>
      <c r="S27" s="35"/>
      <c r="T27" s="11" t="str">
        <f t="shared" si="5"/>
        <v/>
      </c>
      <c r="U27" s="38" t="str">
        <f>IF(OR($E$27="",T27=""),"",$E$27)</f>
        <v/>
      </c>
      <c r="V27" s="50">
        <f>IF(AND(Q27="Dressage",Inodore=TRUE),2,0)+IF(AND(Q27="Dressage",Dégen0=TRUE),-2,IF(AND(Q27="Dressage",Dégen1=TRUE),-2,IF(AND(Q27="Dressage",Dégen2=TRUE),-4,IF(AND(Q27="Dressage",Dégen3=TRUE),-6,IF(AND(Q27="Dressage",Dégen4=TRUE),-20,IF(AND(Q27="Dressage",Dégen5=TRUE),-4,0))))))-IF(Mdc=TRUE,2,0)-IF(AND(Q27="Dressage",Puant=TRUE),2,0)</f>
        <v>0</v>
      </c>
      <c r="W27" s="23">
        <f>IF(Q27="Dressage",1,IF(Q27="Spectacle",2,0))</f>
        <v>0</v>
      </c>
    </row>
    <row r="28" spans="1:23" ht="15" thickBot="1" x14ac:dyDescent="0.35">
      <c r="A28" s="23">
        <f t="shared" ref="A28:A30" si="17">IF(K28="Dressage",1,IF(K28="Spectacle",2,0))</f>
        <v>2</v>
      </c>
      <c r="B28" s="547"/>
      <c r="C28" s="526"/>
      <c r="D28" s="525"/>
      <c r="E28" s="526"/>
      <c r="F28" s="6" t="s">
        <v>44</v>
      </c>
      <c r="G28" s="36"/>
      <c r="H28" s="3" t="str">
        <f t="shared" si="1"/>
        <v>D</v>
      </c>
      <c r="I28" s="39" t="str">
        <f>IF(OR($E$27="",H28=""),"",$E$27)</f>
        <v/>
      </c>
      <c r="J28" s="44">
        <f>IF(Aura1=TRUE,-1,IF(Aura2=TRUE,-2,IF(Aura3=TRUE,-3,IF(Aura4=TRUE,-4,IF(Aura5=TRUE,-5,0)))))-IF(Mdc=TRUE,2,0)</f>
        <v>0</v>
      </c>
      <c r="K28" s="6" t="s">
        <v>71</v>
      </c>
      <c r="L28" s="27"/>
      <c r="M28" s="36"/>
      <c r="N28" s="3" t="str">
        <f t="shared" si="3"/>
        <v>D</v>
      </c>
      <c r="O28" s="39" t="str">
        <f t="shared" ref="O28:O30" si="18">IF(OR($E$27="",N28=""),"",$E$27)</f>
        <v/>
      </c>
      <c r="P28" s="44">
        <f>IF(AND(K28="Dressage",Inodore=TRUE),2,0)+IF(AND(K28="Dressage",Dégen0=TRUE),-2,IF(AND(K28="Dressage",Dégen1=TRUE),-2,IF(AND(K28="Dressage",Dégen2=TRUE),-4,IF(AND(K28="Dressage",Dégen3=TRUE),-6,IF(AND(K28="Dressage",Dégen4=TRUE),-20,IF(AND(K28="Dressage",Dégen5=TRUE),-4,0))))))-IF(Mdc=TRUE,2,0)-IF(AND(K28="Dressage",Puant=TRUE),2,0)</f>
        <v>0</v>
      </c>
      <c r="Q28" s="6"/>
      <c r="R28" s="27"/>
      <c r="S28" s="36"/>
      <c r="T28" s="3" t="str">
        <f t="shared" si="5"/>
        <v/>
      </c>
      <c r="U28" s="39" t="str">
        <f t="shared" ref="U28:U30" si="19">IF(OR($E$27="",T28=""),"",$E$27)</f>
        <v/>
      </c>
      <c r="V28" s="50">
        <f>IF(AND(Q28="Dressage",Inodore=TRUE),2,0)+IF(AND(Q28="Dressage",Dégen0=TRUE),-2,IF(AND(Q28="Dressage",Dégen1=TRUE),-2,IF(AND(Q28="Dressage",Dégen2=TRUE),-4,IF(AND(Q28="Dressage",Dégen3=TRUE),-6,IF(AND(Q28="Dressage",Dégen4=TRUE),-20,IF(AND(Q28="Dressage",Dégen5=TRUE),-4,0))))))-IF(Mdc=TRUE,2,0)-IF(AND(Q28="Dressage",Puant=TRUE),2,0)</f>
        <v>0</v>
      </c>
      <c r="W28" s="23">
        <f t="shared" ref="W28:W30" si="20">IF(Q28="Dressage",1,IF(Q28="Spectacle",2,0))</f>
        <v>0</v>
      </c>
    </row>
    <row r="29" spans="1:23" ht="15" thickBot="1" x14ac:dyDescent="0.35">
      <c r="A29" s="23">
        <f t="shared" si="17"/>
        <v>0</v>
      </c>
      <c r="B29" s="547"/>
      <c r="C29" s="526"/>
      <c r="D29" s="525"/>
      <c r="E29" s="526"/>
      <c r="F29" s="6" t="s">
        <v>45</v>
      </c>
      <c r="G29" s="36"/>
      <c r="H29" s="3" t="str">
        <f t="shared" si="1"/>
        <v>D</v>
      </c>
      <c r="I29" s="39" t="str">
        <f>IF(OR($E$27="",H29=""),"",$E$27)</f>
        <v/>
      </c>
      <c r="J29" s="45">
        <f>IF(Voix_ef=TRUE,2,0)+IF(Rda=TRUE,2,0)+IF(Aura1=TRUE,1,IF(Aura2=TRUE,2,IF(Aura3=TRUE,3,IF(Aura4=TRUE,4,IF(Aura5=TRUE,5,0)))))+IF(Lcup=TRUE,2,0)-IF(Mdc=TRUE,2,0)+IF(mcut=TRUE,2,0)</f>
        <v>0</v>
      </c>
      <c r="K29" s="6"/>
      <c r="L29" s="27"/>
      <c r="M29" s="36"/>
      <c r="N29" s="3" t="str">
        <f t="shared" si="3"/>
        <v/>
      </c>
      <c r="O29" s="39" t="str">
        <f t="shared" si="18"/>
        <v/>
      </c>
      <c r="P29" s="44">
        <f>IF(AND(K29="Dressage",Inodore=TRUE),2,0)+IF(AND(K29="Dressage",Dégen0=TRUE),-2,IF(AND(K29="Dressage",Dégen1=TRUE),-2,IF(AND(K29="Dressage",Dégen2=TRUE),-4,IF(AND(K29="Dressage",Dégen3=TRUE),-6,IF(AND(K29="Dressage",Dégen4=TRUE),-20,IF(AND(K29="Dressage",Dégen5=TRUE),-4,0))))))-IF(Mdc=TRUE,2,0)-IF(AND(K29="Dressage",Puant=TRUE),2,0)</f>
        <v>0</v>
      </c>
      <c r="Q29" s="6"/>
      <c r="R29" s="27"/>
      <c r="S29" s="36"/>
      <c r="T29" s="3" t="str">
        <f t="shared" si="5"/>
        <v/>
      </c>
      <c r="U29" s="39" t="str">
        <f t="shared" si="19"/>
        <v/>
      </c>
      <c r="V29" s="50">
        <f>IF(AND(Q29="Dressage",Inodore=TRUE),2,0)+IF(AND(Q29="Dressage",Dégen0=TRUE),-2,IF(AND(Q29="Dressage",Dégen1=TRUE),-2,IF(AND(Q29="Dressage",Dégen2=TRUE),-4,IF(AND(Q29="Dressage",Dégen3=TRUE),-6,IF(AND(Q29="Dressage",Dégen4=TRUE),-20,IF(AND(Q29="Dressage",Dégen5=TRUE),-4,0))))))-IF(Mdc=TRUE,2,0)-IF(AND(Q29="Dressage",Puant=TRUE),2,0)</f>
        <v>0</v>
      </c>
      <c r="W29" s="23">
        <f t="shared" si="20"/>
        <v>0</v>
      </c>
    </row>
    <row r="30" spans="1:23" ht="15" thickBot="1" x14ac:dyDescent="0.35">
      <c r="A30" s="23">
        <f t="shared" si="17"/>
        <v>0</v>
      </c>
      <c r="B30" s="548"/>
      <c r="C30" s="526"/>
      <c r="D30" s="525"/>
      <c r="E30" s="526"/>
      <c r="F30" s="14" t="s">
        <v>46</v>
      </c>
      <c r="G30" s="37"/>
      <c r="H30" s="15" t="str">
        <f t="shared" si="1"/>
        <v>D</v>
      </c>
      <c r="I30" s="40" t="str">
        <f>IF(OR($E$27="",H30=""),"",$E$27)</f>
        <v/>
      </c>
      <c r="J30" s="46">
        <f>IF(Belle_g=TRUE,2,0)+IF(Voix_ap=TRUE,2,0)+IF(Aura1=TRUE,-1,IF(Aura2=TRUE,-2,IF(Aura3=TRUE,-3,IF(Aura4=TRUE,-4,IF(Aura5=TRUE,-5,0)))))-IF(Jlt=TRUE,2,0)+IF(lldl=TRUE,2,0)-IF(OR(maladie1=TRUE,maladie2=TRUE,maladie3=TRUE),2,0)-IF(Manie1=TRUE,1,IF(Manie2=TRUE,2,IF(Manie3=TRUE,3,0)))-IF(Mdc=TRUE,2,0)-IF(mcut=TRUE,2,0)-IF(mépris=TRUE,2,0)</f>
        <v>0</v>
      </c>
      <c r="K30" s="14"/>
      <c r="L30" s="28"/>
      <c r="M30" s="37"/>
      <c r="N30" s="15" t="str">
        <f t="shared" si="3"/>
        <v/>
      </c>
      <c r="O30" s="40" t="str">
        <f t="shared" si="18"/>
        <v/>
      </c>
      <c r="P30" s="51">
        <f>IF(AND(K30="Dressage",Inodore=TRUE),2,0)+IF(AND(K30="Dressage",Dégen0=TRUE),-2,IF(AND(K30="Dressage",Dégen1=TRUE),-2,IF(AND(K30="Dressage",Dégen2=TRUE),-4,IF(AND(K30="Dressage",Dégen3=TRUE),-6,IF(AND(K30="Dressage",Dégen4=TRUE),-20,IF(AND(K30="Dressage",Dégen5=TRUE),-4,0))))))-IF(Mdc=TRUE,2,0)-IF(AND(K30="Dressage",Puant=TRUE),2,0)</f>
        <v>0</v>
      </c>
      <c r="Q30" s="14"/>
      <c r="R30" s="28"/>
      <c r="S30" s="37"/>
      <c r="T30" s="15" t="str">
        <f t="shared" si="5"/>
        <v/>
      </c>
      <c r="U30" s="40" t="str">
        <f t="shared" si="19"/>
        <v/>
      </c>
      <c r="V30" s="51">
        <f>IF(AND(Q30="Dressage",Inodore=TRUE),2,0)+IF(AND(Q30="Dressage",Dégen0=TRUE),-2,IF(AND(Q30="Dressage",Dégen1=TRUE),-2,IF(AND(Q30="Dressage",Dégen2=TRUE),-4,IF(AND(Q30="Dressage",Dégen3=TRUE),-6,IF(AND(Q30="Dressage",Dégen4=TRUE),-20,IF(AND(Q30="Dressage",Dégen5=TRUE),-4,0))))))-IF(Mdc=TRUE,2,0)-IF(AND(Q30="Dressage",Puant=TRUE),2,0)</f>
        <v>0</v>
      </c>
      <c r="W30" s="23">
        <f t="shared" si="20"/>
        <v>0</v>
      </c>
    </row>
    <row r="31" spans="1:23" ht="15" thickBot="1" x14ac:dyDescent="0.35">
      <c r="A31" s="2"/>
      <c r="B31" s="535" t="s">
        <v>14</v>
      </c>
      <c r="C31" s="527"/>
      <c r="D31" s="528" t="s">
        <v>20</v>
      </c>
      <c r="E31" s="527"/>
      <c r="F31" s="8" t="s">
        <v>47</v>
      </c>
      <c r="G31" s="32"/>
      <c r="H31" s="9" t="str">
        <f t="shared" si="1"/>
        <v>D</v>
      </c>
      <c r="I31" s="32" t="str">
        <f>IF(OR($E$31="",H31=""),"",$E$31)</f>
        <v/>
      </c>
      <c r="J31" s="41">
        <f>IF(crise1=TRUE,-2,IF(crise2=TRUE,-4,0))</f>
        <v>0</v>
      </c>
      <c r="K31" s="8"/>
      <c r="L31" s="25"/>
      <c r="M31" s="32"/>
      <c r="N31" s="9" t="str">
        <f t="shared" si="3"/>
        <v/>
      </c>
      <c r="O31" s="32" t="str">
        <f>IF(OR($E$31="",N31=""),"",$E$31)</f>
        <v/>
      </c>
      <c r="P31" s="41">
        <v>0</v>
      </c>
      <c r="Q31" s="8"/>
      <c r="R31" s="25"/>
      <c r="S31" s="32"/>
      <c r="T31" s="9" t="str">
        <f t="shared" si="5"/>
        <v/>
      </c>
      <c r="U31" s="32" t="str">
        <f>IF(OR($E$31="",T31=""),"",$E$31)</f>
        <v/>
      </c>
      <c r="V31" s="47">
        <v>0</v>
      </c>
      <c r="W31" s="2"/>
    </row>
    <row r="32" spans="1:23" ht="15" thickBot="1" x14ac:dyDescent="0.35">
      <c r="A32" s="2"/>
      <c r="B32" s="535"/>
      <c r="C32" s="527"/>
      <c r="D32" s="528"/>
      <c r="E32" s="527"/>
      <c r="F32" s="12" t="s">
        <v>48</v>
      </c>
      <c r="G32" s="34"/>
      <c r="H32" s="13" t="str">
        <f>IF(F32="","","D")</f>
        <v>D</v>
      </c>
      <c r="I32" s="34" t="str">
        <f>IF(OR($E$31="",H32=""),"",$E$31)</f>
        <v/>
      </c>
      <c r="J32" s="43">
        <f>IF(S32="",0,S32)+IF(Ours1=TRUE,1,IF(Ours2=TRUE,2,IF(Ours3=TRUE,3,IF(Ours4=TRUE,4,IF(Ours5=TRUE,5,0)))))+IF(pdr=TRUE,2,0)-IF(Jlt=TRUE,2,0)-IF(Nausée=TRUE,2,0)</f>
        <v>0</v>
      </c>
      <c r="K32" s="556" t="s">
        <v>67</v>
      </c>
      <c r="L32" s="557"/>
      <c r="M32" s="557"/>
      <c r="N32" s="557"/>
      <c r="O32" s="557"/>
      <c r="P32" s="557"/>
      <c r="Q32" s="557"/>
      <c r="R32" s="558"/>
      <c r="S32" s="480"/>
      <c r="T32" s="481"/>
      <c r="U32" s="481"/>
      <c r="V32" s="482"/>
      <c r="W32" s="2"/>
    </row>
    <row r="33" spans="1:27" ht="3.6" customHeight="1" thickBot="1" x14ac:dyDescent="0.35">
      <c r="A33" s="2"/>
      <c r="B33" s="545" t="str">
        <f>CONCATENATE(IF(oeuil=TRUE,"*+2 Perception pour voir de loin",""),IF(oreille=TRUE," *+2 Perception pour entendre",""),IF(sommeil=TRUE," *+2 Détection pour se réveiller rapidement",""),IF(dodo=TRUE," *-2 Détection pour se réveiller rapidement",""),IF(mépris=TRUE," *-2 Persuasion face aux personnes inférieures",""))</f>
        <v/>
      </c>
      <c r="C33" s="545"/>
      <c r="D33" s="545"/>
      <c r="E33" s="545"/>
      <c r="F33" s="545"/>
      <c r="G33" s="545"/>
      <c r="H33" s="545"/>
      <c r="I33" s="545"/>
      <c r="J33" s="545"/>
      <c r="K33" s="545"/>
      <c r="L33" s="545"/>
      <c r="M33" s="545"/>
      <c r="N33" s="545"/>
      <c r="O33" s="545"/>
      <c r="P33" s="545"/>
      <c r="Q33" s="545"/>
      <c r="R33" s="545"/>
      <c r="S33" s="545"/>
      <c r="T33" s="545"/>
      <c r="U33" s="545"/>
      <c r="V33" s="545"/>
      <c r="W33" s="2"/>
    </row>
    <row r="34" spans="1:27" ht="16.2" thickBot="1" x14ac:dyDescent="0.4">
      <c r="A34" s="2"/>
      <c r="B34" s="494" t="s">
        <v>32</v>
      </c>
      <c r="C34" s="495"/>
      <c r="D34" s="495"/>
      <c r="E34" s="495"/>
      <c r="F34" s="495"/>
      <c r="G34" s="495"/>
      <c r="H34" s="495"/>
      <c r="I34" s="495"/>
      <c r="J34" s="495"/>
      <c r="K34" s="495"/>
      <c r="L34" s="495"/>
      <c r="M34" s="495"/>
      <c r="N34" s="495"/>
      <c r="O34" s="495"/>
      <c r="P34" s="495"/>
      <c r="Q34" s="495"/>
      <c r="R34" s="495"/>
      <c r="S34" s="495"/>
      <c r="T34" s="495"/>
      <c r="U34" s="495"/>
      <c r="V34" s="496"/>
      <c r="W34" s="2"/>
    </row>
    <row r="35" spans="1:27" ht="15" customHeight="1" thickBot="1" x14ac:dyDescent="0.35">
      <c r="A35" s="2"/>
      <c r="B35" s="18" t="s">
        <v>31</v>
      </c>
      <c r="C35" s="493" t="s">
        <v>8</v>
      </c>
      <c r="D35" s="493"/>
      <c r="E35" s="493"/>
      <c r="F35" s="18" t="s">
        <v>9</v>
      </c>
      <c r="G35" s="493" t="s">
        <v>8</v>
      </c>
      <c r="H35" s="493"/>
      <c r="I35" s="493"/>
      <c r="J35" s="19" t="s">
        <v>22</v>
      </c>
      <c r="K35" s="18" t="s">
        <v>9</v>
      </c>
      <c r="L35" s="20" t="s">
        <v>10</v>
      </c>
      <c r="M35" s="493" t="s">
        <v>8</v>
      </c>
      <c r="N35" s="493"/>
      <c r="O35" s="493"/>
      <c r="P35" s="19" t="s">
        <v>22</v>
      </c>
      <c r="Q35" s="18" t="s">
        <v>9</v>
      </c>
      <c r="R35" s="20" t="s">
        <v>10</v>
      </c>
      <c r="S35" s="493" t="s">
        <v>8</v>
      </c>
      <c r="T35" s="493"/>
      <c r="U35" s="493"/>
      <c r="V35" s="21" t="s">
        <v>22</v>
      </c>
      <c r="W35" s="2"/>
    </row>
    <row r="36" spans="1:27" ht="15" thickBot="1" x14ac:dyDescent="0.35">
      <c r="A36" s="23">
        <f>IF(K36="Lancer",1,IF(K36="Recharge rapide",2,IF(K36="Tirer",3,0)))</f>
        <v>1</v>
      </c>
      <c r="B36" s="535" t="s">
        <v>15</v>
      </c>
      <c r="C36" s="527"/>
      <c r="D36" s="528" t="s">
        <v>20</v>
      </c>
      <c r="E36" s="527"/>
      <c r="F36" s="8" t="s">
        <v>49</v>
      </c>
      <c r="G36" s="32"/>
      <c r="H36" s="9" t="str">
        <f>IF(F36="","","D")</f>
        <v>D</v>
      </c>
      <c r="I36" s="32" t="str">
        <f>IF(OR($E$36="",H36=""),"",$E$36)</f>
        <v/>
      </c>
      <c r="J36" s="41">
        <v>0</v>
      </c>
      <c r="K36" s="8" t="s">
        <v>54</v>
      </c>
      <c r="L36" s="25"/>
      <c r="M36" s="32"/>
      <c r="N36" s="9" t="str">
        <f>IF(K36="","","D")</f>
        <v>D</v>
      </c>
      <c r="O36" s="32" t="str">
        <f>IF(OR($E$36="",N36=""),"",$E$36)</f>
        <v/>
      </c>
      <c r="P36" s="41">
        <v>0</v>
      </c>
      <c r="Q36" s="8"/>
      <c r="R36" s="25"/>
      <c r="S36" s="32"/>
      <c r="T36" s="9" t="str">
        <f>IF(Q36="","","D")</f>
        <v/>
      </c>
      <c r="U36" s="32" t="str">
        <f>IF(OR($E$36="",T36=""),"",$E$36)</f>
        <v/>
      </c>
      <c r="V36" s="47">
        <v>0</v>
      </c>
      <c r="W36" s="23">
        <f>IF(Q36="Lancer",1,IF(Q36="Recharge rapide",2,IF(Q36="Tirer",3,0)))</f>
        <v>0</v>
      </c>
    </row>
    <row r="37" spans="1:27" ht="15" thickBot="1" x14ac:dyDescent="0.35">
      <c r="A37" s="23">
        <f t="shared" ref="A37:A40" si="21">IF(K37="Lancer",1,IF(K37="Recharge rapide",2,IF(K37="Tirer",3,0)))</f>
        <v>2</v>
      </c>
      <c r="B37" s="535"/>
      <c r="C37" s="527"/>
      <c r="D37" s="528"/>
      <c r="E37" s="527"/>
      <c r="F37" s="5" t="s">
        <v>50</v>
      </c>
      <c r="G37" s="33"/>
      <c r="H37" s="4" t="str">
        <f t="shared" ref="H37:H41" si="22">IF(F37="","","D")</f>
        <v>D</v>
      </c>
      <c r="I37" s="33" t="str">
        <f>IF(OR($E$36="",H37=""),"",$E$36)</f>
        <v/>
      </c>
      <c r="J37" s="42">
        <v>0</v>
      </c>
      <c r="K37" s="7" t="s">
        <v>55</v>
      </c>
      <c r="L37" s="25"/>
      <c r="M37" s="33"/>
      <c r="N37" s="4" t="str">
        <f t="shared" ref="N37:N41" si="23">IF(K37="","","D")</f>
        <v>D</v>
      </c>
      <c r="O37" s="33" t="str">
        <f>IF(OR($E$36="",N37=""),"",$E$36)</f>
        <v/>
      </c>
      <c r="P37" s="42">
        <v>0</v>
      </c>
      <c r="Q37" s="5"/>
      <c r="R37" s="25"/>
      <c r="S37" s="33"/>
      <c r="T37" s="4" t="str">
        <f t="shared" ref="T37:T41" si="24">IF(Q37="","","D")</f>
        <v/>
      </c>
      <c r="U37" s="33" t="str">
        <f>IF(OR($E$36="",T37=""),"",$E$36)</f>
        <v/>
      </c>
      <c r="V37" s="48">
        <v>0</v>
      </c>
      <c r="W37" s="23">
        <f t="shared" ref="W37:W40" si="25">IF(Q37="Lancer",1,IF(Q37="Recharge rapide",2,IF(Q37="Tirer",3,0)))</f>
        <v>0</v>
      </c>
    </row>
    <row r="38" spans="1:27" ht="15" thickBot="1" x14ac:dyDescent="0.35">
      <c r="A38" s="23">
        <f t="shared" si="21"/>
        <v>3</v>
      </c>
      <c r="B38" s="535"/>
      <c r="C38" s="527"/>
      <c r="D38" s="528"/>
      <c r="E38" s="527"/>
      <c r="F38" s="5" t="s">
        <v>51</v>
      </c>
      <c r="G38" s="33"/>
      <c r="H38" s="4" t="str">
        <f t="shared" si="22"/>
        <v>D</v>
      </c>
      <c r="I38" s="33" t="str">
        <f>IF(OR($E$36="",H38=""),"",$E$36)</f>
        <v/>
      </c>
      <c r="J38" s="42">
        <v>0</v>
      </c>
      <c r="K38" s="5" t="s">
        <v>56</v>
      </c>
      <c r="L38" s="25"/>
      <c r="M38" s="33"/>
      <c r="N38" s="4" t="str">
        <f t="shared" si="23"/>
        <v>D</v>
      </c>
      <c r="O38" s="33" t="str">
        <f>IF(OR($E$36="",N38=""),"",$E$36)</f>
        <v/>
      </c>
      <c r="P38" s="42">
        <v>0</v>
      </c>
      <c r="Q38" s="5"/>
      <c r="R38" s="25"/>
      <c r="S38" s="33"/>
      <c r="T38" s="4" t="str">
        <f t="shared" si="24"/>
        <v/>
      </c>
      <c r="U38" s="33" t="str">
        <f>IF(OR($E$36="",T38=""),"",$E$36)</f>
        <v/>
      </c>
      <c r="V38" s="48">
        <v>0</v>
      </c>
      <c r="W38" s="23">
        <f t="shared" si="25"/>
        <v>0</v>
      </c>
    </row>
    <row r="39" spans="1:27" ht="15" thickBot="1" x14ac:dyDescent="0.35">
      <c r="A39" s="23">
        <f t="shared" si="21"/>
        <v>0</v>
      </c>
      <c r="B39" s="535"/>
      <c r="C39" s="527"/>
      <c r="D39" s="528"/>
      <c r="E39" s="527"/>
      <c r="F39" s="5" t="s">
        <v>52</v>
      </c>
      <c r="G39" s="33"/>
      <c r="H39" s="4" t="str">
        <f t="shared" si="22"/>
        <v>D</v>
      </c>
      <c r="I39" s="33" t="str">
        <f>IF(OR($E$36="",H39=""),"",$E$36)</f>
        <v/>
      </c>
      <c r="J39" s="42">
        <v>0</v>
      </c>
      <c r="K39" s="5"/>
      <c r="L39" s="25"/>
      <c r="M39" s="33"/>
      <c r="N39" s="4" t="str">
        <f t="shared" si="23"/>
        <v/>
      </c>
      <c r="O39" s="33" t="str">
        <f>IF(OR($E$36="",N39=""),"",$E$36)</f>
        <v/>
      </c>
      <c r="P39" s="42">
        <v>0</v>
      </c>
      <c r="Q39" s="5"/>
      <c r="R39" s="25"/>
      <c r="S39" s="33"/>
      <c r="T39" s="4" t="str">
        <f t="shared" si="24"/>
        <v/>
      </c>
      <c r="U39" s="33" t="str">
        <f>IF(OR($E$36="",T39=""),"",$E$36)</f>
        <v/>
      </c>
      <c r="V39" s="48">
        <v>0</v>
      </c>
      <c r="W39" s="23">
        <f t="shared" si="25"/>
        <v>0</v>
      </c>
    </row>
    <row r="40" spans="1:27" ht="15" thickBot="1" x14ac:dyDescent="0.35">
      <c r="A40" s="23">
        <f t="shared" si="21"/>
        <v>0</v>
      </c>
      <c r="B40" s="535"/>
      <c r="C40" s="527"/>
      <c r="D40" s="528"/>
      <c r="E40" s="527"/>
      <c r="F40" s="12" t="s">
        <v>53</v>
      </c>
      <c r="G40" s="34"/>
      <c r="H40" s="13" t="str">
        <f t="shared" si="22"/>
        <v>D</v>
      </c>
      <c r="I40" s="34" t="str">
        <f>IF(OR($E$36="",H40=""),"",$E$36)</f>
        <v/>
      </c>
      <c r="J40" s="43">
        <v>0</v>
      </c>
      <c r="K40" s="12"/>
      <c r="L40" s="29"/>
      <c r="M40" s="34"/>
      <c r="N40" s="13" t="str">
        <f t="shared" si="23"/>
        <v/>
      </c>
      <c r="O40" s="34" t="str">
        <f>IF(OR($E$36="",N40=""),"",$E$36)</f>
        <v/>
      </c>
      <c r="P40" s="43">
        <v>0</v>
      </c>
      <c r="Q40" s="12"/>
      <c r="R40" s="29"/>
      <c r="S40" s="34"/>
      <c r="T40" s="13" t="str">
        <f t="shared" si="24"/>
        <v/>
      </c>
      <c r="U40" s="34" t="str">
        <f>IF(OR($E$36="",T40=""),"",$E$36)</f>
        <v/>
      </c>
      <c r="V40" s="49">
        <v>0</v>
      </c>
      <c r="W40" s="23">
        <f t="shared" si="25"/>
        <v>0</v>
      </c>
    </row>
    <row r="41" spans="1:27" ht="15" customHeight="1" thickBot="1" x14ac:dyDescent="0.35">
      <c r="A41" s="23">
        <f>IF(K41="Combat",1,IF(K41="Conduire",2,0))</f>
        <v>1</v>
      </c>
      <c r="B41" s="559" t="s">
        <v>16</v>
      </c>
      <c r="C41" s="526"/>
      <c r="D41" s="525" t="s">
        <v>20</v>
      </c>
      <c r="E41" s="526"/>
      <c r="F41" s="10" t="s">
        <v>57</v>
      </c>
      <c r="G41" s="35"/>
      <c r="H41" s="11" t="str">
        <f t="shared" si="22"/>
        <v>D</v>
      </c>
      <c r="I41" s="35" t="str">
        <f>IF(OR($E$41="",H41=""),"",$E$41)</f>
        <v/>
      </c>
      <c r="J41" s="44">
        <f>IF(Dégen0=TRUE,-2,IF(Dégen1=TRUE,-2,IF(Dégen2=TRUE,-4,IF(Dégen3=TRUE,-6,IF(Dégen4=TRUE,-20,IF(Dégen5=TRUE,-4,0))))))</f>
        <v>0</v>
      </c>
      <c r="K41" s="10" t="s">
        <v>63</v>
      </c>
      <c r="L41" s="27"/>
      <c r="M41" s="35"/>
      <c r="N41" s="11" t="str">
        <f t="shared" si="23"/>
        <v>D</v>
      </c>
      <c r="O41" s="35" t="str">
        <f>IF(OR($E$41="",N41=""),"",$E$41)</f>
        <v/>
      </c>
      <c r="P41" s="44">
        <v>0</v>
      </c>
      <c r="Q41" s="10"/>
      <c r="R41" s="27"/>
      <c r="S41" s="35"/>
      <c r="T41" s="11" t="str">
        <f t="shared" si="24"/>
        <v/>
      </c>
      <c r="U41" s="35" t="str">
        <f>IF(OR($E$41="",T41=""),"",$E$41)</f>
        <v/>
      </c>
      <c r="V41" s="50">
        <v>0</v>
      </c>
      <c r="W41" s="23">
        <f>IF(Q41="Combat",1,IF(Q41="Conduire",2,0))</f>
        <v>0</v>
      </c>
    </row>
    <row r="42" spans="1:27" ht="15" customHeight="1" thickBot="1" x14ac:dyDescent="0.35">
      <c r="A42" s="23">
        <f t="shared" ref="A42:A46" si="26">IF(K42="Combat",1,IF(K42="Conduire",2,0))</f>
        <v>2</v>
      </c>
      <c r="B42" s="560"/>
      <c r="C42" s="526"/>
      <c r="D42" s="525"/>
      <c r="E42" s="526"/>
      <c r="F42" s="6" t="s">
        <v>58</v>
      </c>
      <c r="G42" s="36"/>
      <c r="H42" s="3" t="str">
        <f t="shared" ref="H42:H47" si="27">IF(F42="","","D")</f>
        <v>D</v>
      </c>
      <c r="I42" s="36" t="str">
        <f>IF(OR($E$41="",H42=""),"",$E$41)</f>
        <v/>
      </c>
      <c r="J42" s="44">
        <f>IF(Dégen0=TRUE,-2,IF(Dégen1=TRUE,-2,IF(Dégen2=TRUE,-4,IF(Dégen3=TRUE,-6,IF(Dégen4=TRUE,-20,IF(Dégen5=TRUE,-4,0))))))+IF(Type_Che="Malin",2,0)</f>
        <v>0</v>
      </c>
      <c r="K42" s="6" t="s">
        <v>64</v>
      </c>
      <c r="L42" s="27"/>
      <c r="M42" s="36"/>
      <c r="N42" s="3" t="str">
        <f t="shared" ref="N42:N47" si="28">IF(K42="","","D")</f>
        <v>D</v>
      </c>
      <c r="O42" s="36" t="str">
        <f>IF(OR($E$41="",N42=""),"",$E$41)</f>
        <v/>
      </c>
      <c r="P42" s="45">
        <v>0</v>
      </c>
      <c r="Q42" s="6"/>
      <c r="R42" s="27"/>
      <c r="S42" s="36"/>
      <c r="T42" s="3" t="str">
        <f t="shared" ref="T42:T47" si="29">IF(Q42="","","D")</f>
        <v/>
      </c>
      <c r="U42" s="36" t="str">
        <f>IF(OR($E$41="",T42=""),"",$E$41)</f>
        <v/>
      </c>
      <c r="V42" s="52">
        <v>0</v>
      </c>
      <c r="W42" s="23">
        <f t="shared" ref="W42:W46" si="30">IF(Q42="Combat",1,IF(Q42="Conduire",2,0))</f>
        <v>0</v>
      </c>
    </row>
    <row r="43" spans="1:27" ht="15" customHeight="1" thickBot="1" x14ac:dyDescent="0.35">
      <c r="A43" s="23">
        <f t="shared" si="26"/>
        <v>0</v>
      </c>
      <c r="B43" s="560"/>
      <c r="C43" s="526"/>
      <c r="D43" s="525"/>
      <c r="E43" s="526"/>
      <c r="F43" s="6" t="s">
        <v>59</v>
      </c>
      <c r="G43" s="36"/>
      <c r="H43" s="3" t="str">
        <f t="shared" si="27"/>
        <v>D</v>
      </c>
      <c r="I43" s="36" t="str">
        <f t="shared" ref="I43:I46" si="31">IF(OR($E$41="",H43=""),"",$E$41)</f>
        <v/>
      </c>
      <c r="J43" s="45">
        <f>IF(Boiteux1=TRUE,-2,IF(Boiteux2=TRUE,-4,0))</f>
        <v>0</v>
      </c>
      <c r="K43" s="6"/>
      <c r="L43" s="27"/>
      <c r="M43" s="36"/>
      <c r="N43" s="3" t="str">
        <f t="shared" ref="N43:N46" si="32">IF(K43="","","D")</f>
        <v/>
      </c>
      <c r="O43" s="36" t="str">
        <f t="shared" ref="O43:O46" si="33">IF(OR($E$41="",N43=""),"",$E$41)</f>
        <v/>
      </c>
      <c r="P43" s="45">
        <v>0</v>
      </c>
      <c r="Q43" s="6"/>
      <c r="R43" s="27"/>
      <c r="S43" s="36"/>
      <c r="T43" s="3" t="str">
        <f t="shared" ref="T43:T46" si="34">IF(Q43="","","D")</f>
        <v/>
      </c>
      <c r="U43" s="36" t="str">
        <f t="shared" ref="U43:U46" si="35">IF(OR($E$41="",T43=""),"",$E$41)</f>
        <v/>
      </c>
      <c r="V43" s="52">
        <v>0</v>
      </c>
      <c r="W43" s="23">
        <f t="shared" si="30"/>
        <v>0</v>
      </c>
    </row>
    <row r="44" spans="1:27" ht="15" customHeight="1" thickBot="1" x14ac:dyDescent="0.35">
      <c r="A44" s="23">
        <f t="shared" si="26"/>
        <v>0</v>
      </c>
      <c r="B44" s="560"/>
      <c r="C44" s="526"/>
      <c r="D44" s="525"/>
      <c r="E44" s="526"/>
      <c r="F44" s="6" t="s">
        <v>60</v>
      </c>
      <c r="G44" s="36">
        <v>1</v>
      </c>
      <c r="H44" s="3" t="str">
        <f t="shared" si="27"/>
        <v>D</v>
      </c>
      <c r="I44" s="36" t="str">
        <f t="shared" si="31"/>
        <v/>
      </c>
      <c r="J44" s="45">
        <f>IF(OR(maladie1=TRUE,maladie2=TRUE,maladie3=TRUE),-2,0)</f>
        <v>0</v>
      </c>
      <c r="K44" s="6"/>
      <c r="L44" s="27"/>
      <c r="M44" s="36"/>
      <c r="N44" s="3" t="str">
        <f t="shared" si="32"/>
        <v/>
      </c>
      <c r="O44" s="36" t="str">
        <f t="shared" si="33"/>
        <v/>
      </c>
      <c r="P44" s="45">
        <v>0</v>
      </c>
      <c r="Q44" s="6"/>
      <c r="R44" s="27"/>
      <c r="S44" s="36"/>
      <c r="T44" s="3" t="str">
        <f t="shared" si="34"/>
        <v/>
      </c>
      <c r="U44" s="36" t="str">
        <f t="shared" si="35"/>
        <v/>
      </c>
      <c r="V44" s="52">
        <v>0</v>
      </c>
      <c r="W44" s="23">
        <f t="shared" si="30"/>
        <v>0</v>
      </c>
      <c r="X44" s="22"/>
      <c r="Y44" s="22"/>
      <c r="Z44" s="22"/>
      <c r="AA44" s="22"/>
    </row>
    <row r="45" spans="1:27" ht="15" customHeight="1" thickBot="1" x14ac:dyDescent="0.35">
      <c r="A45" s="23">
        <f t="shared" si="26"/>
        <v>0</v>
      </c>
      <c r="B45" s="560"/>
      <c r="C45" s="526"/>
      <c r="D45" s="525"/>
      <c r="E45" s="526"/>
      <c r="F45" s="6" t="s">
        <v>61</v>
      </c>
      <c r="G45" s="36">
        <v>1</v>
      </c>
      <c r="H45" s="3" t="str">
        <f t="shared" si="27"/>
        <v>D</v>
      </c>
      <c r="I45" s="36" t="str">
        <f t="shared" si="31"/>
        <v/>
      </c>
      <c r="J45" s="45">
        <v>0</v>
      </c>
      <c r="K45" s="6"/>
      <c r="L45" s="27"/>
      <c r="M45" s="36"/>
      <c r="N45" s="3" t="str">
        <f t="shared" si="32"/>
        <v/>
      </c>
      <c r="O45" s="36" t="str">
        <f t="shared" si="33"/>
        <v/>
      </c>
      <c r="P45" s="45">
        <v>0</v>
      </c>
      <c r="Q45" s="6"/>
      <c r="R45" s="27"/>
      <c r="S45" s="36"/>
      <c r="T45" s="3" t="str">
        <f t="shared" si="34"/>
        <v/>
      </c>
      <c r="U45" s="36" t="str">
        <f t="shared" si="35"/>
        <v/>
      </c>
      <c r="V45" s="52">
        <v>0</v>
      </c>
      <c r="W45" s="23">
        <f t="shared" si="30"/>
        <v>0</v>
      </c>
      <c r="X45" s="22"/>
      <c r="Y45" s="93" t="s">
        <v>213</v>
      </c>
      <c r="Z45" s="522">
        <f>IF(K53&gt;4,K53,4)</f>
        <v>4</v>
      </c>
      <c r="AA45" s="522"/>
    </row>
    <row r="46" spans="1:27" ht="15" customHeight="1" thickBot="1" x14ac:dyDescent="0.35">
      <c r="A46" s="23">
        <f t="shared" si="26"/>
        <v>0</v>
      </c>
      <c r="B46" s="561"/>
      <c r="C46" s="526"/>
      <c r="D46" s="525"/>
      <c r="E46" s="526"/>
      <c r="F46" s="14" t="s">
        <v>62</v>
      </c>
      <c r="G46" s="37"/>
      <c r="H46" s="15" t="str">
        <f>IF(F46="","","D")</f>
        <v>D</v>
      </c>
      <c r="I46" s="135" t="str">
        <f t="shared" si="31"/>
        <v/>
      </c>
      <c r="J46" s="46">
        <v>0</v>
      </c>
      <c r="K46" s="14"/>
      <c r="L46" s="28"/>
      <c r="M46" s="37"/>
      <c r="N46" s="15" t="str">
        <f t="shared" si="32"/>
        <v/>
      </c>
      <c r="O46" s="40" t="str">
        <f t="shared" si="33"/>
        <v/>
      </c>
      <c r="P46" s="46">
        <v>0</v>
      </c>
      <c r="Q46" s="14"/>
      <c r="R46" s="28"/>
      <c r="S46" s="37"/>
      <c r="T46" s="15" t="str">
        <f t="shared" si="34"/>
        <v/>
      </c>
      <c r="U46" s="40" t="str">
        <f t="shared" si="35"/>
        <v/>
      </c>
      <c r="V46" s="51">
        <v>0</v>
      </c>
      <c r="W46" s="23">
        <f t="shared" si="30"/>
        <v>0</v>
      </c>
      <c r="X46" s="22"/>
      <c r="Y46" s="22"/>
      <c r="Z46" s="22"/>
      <c r="AA46" s="22"/>
    </row>
    <row r="47" spans="1:27" ht="15" thickBot="1" x14ac:dyDescent="0.35">
      <c r="A47" s="23">
        <f>IF(K47="Dégainer",1,0)</f>
        <v>1</v>
      </c>
      <c r="B47" s="554" t="s">
        <v>17</v>
      </c>
      <c r="C47" s="527"/>
      <c r="D47" s="528" t="s">
        <v>20</v>
      </c>
      <c r="E47" s="527"/>
      <c r="F47" s="8"/>
      <c r="G47" s="32"/>
      <c r="H47" s="9" t="str">
        <f t="shared" si="27"/>
        <v/>
      </c>
      <c r="I47" s="32" t="str">
        <f>IF(OR($E$47="",H47=""),"",$E$47)</f>
        <v/>
      </c>
      <c r="J47" s="41">
        <v>0</v>
      </c>
      <c r="K47" s="8" t="s">
        <v>65</v>
      </c>
      <c r="L47" s="25"/>
      <c r="M47" s="32"/>
      <c r="N47" s="9" t="str">
        <f t="shared" si="28"/>
        <v>D</v>
      </c>
      <c r="O47" s="32" t="str">
        <f>IF(OR($E$47="",N47=""),"",$E$47)</f>
        <v/>
      </c>
      <c r="P47" s="41">
        <v>0</v>
      </c>
      <c r="Q47" s="8"/>
      <c r="R47" s="25"/>
      <c r="S47" s="32"/>
      <c r="T47" s="9" t="str">
        <f t="shared" si="29"/>
        <v/>
      </c>
      <c r="U47" s="32" t="str">
        <f>IF(OR($E$47="",T47=""),"",$E$47)</f>
        <v/>
      </c>
      <c r="V47" s="47">
        <v>0</v>
      </c>
      <c r="W47" s="23">
        <f>IF(Q47="Dégainer",1,0)</f>
        <v>0</v>
      </c>
    </row>
    <row r="48" spans="1:27" ht="15" thickBot="1" x14ac:dyDescent="0.35">
      <c r="A48" s="23">
        <f t="shared" ref="A48:A49" si="36">IF(K48="Dégainer",1,0)</f>
        <v>0</v>
      </c>
      <c r="B48" s="555"/>
      <c r="C48" s="527"/>
      <c r="D48" s="528"/>
      <c r="E48" s="527"/>
      <c r="F48" s="5"/>
      <c r="G48" s="33"/>
      <c r="H48" s="4" t="str">
        <f t="shared" ref="H48:H49" si="37">IF(F48="","","D")</f>
        <v/>
      </c>
      <c r="I48" s="33" t="str">
        <f>IF(OR($E$47="",H48=""),"",$E$47)</f>
        <v/>
      </c>
      <c r="J48" s="42">
        <v>0</v>
      </c>
      <c r="K48" s="5"/>
      <c r="L48" s="25"/>
      <c r="M48" s="33"/>
      <c r="N48" s="4" t="str">
        <f t="shared" ref="N48:N49" si="38">IF(K48="","","D")</f>
        <v/>
      </c>
      <c r="O48" s="33" t="str">
        <f>IF(OR($E$47="",N48=""),"",$E$47)</f>
        <v/>
      </c>
      <c r="P48" s="42">
        <v>0</v>
      </c>
      <c r="Q48" s="5"/>
      <c r="R48" s="25"/>
      <c r="S48" s="33"/>
      <c r="T48" s="4" t="str">
        <f t="shared" ref="T48:T49" si="39">IF(Q48="","","D")</f>
        <v/>
      </c>
      <c r="U48" s="33" t="str">
        <f>IF(OR($E$47="",T48=""),"",$E$47)</f>
        <v/>
      </c>
      <c r="V48" s="48">
        <v>0</v>
      </c>
      <c r="W48" s="23">
        <f t="shared" ref="W48:W49" si="40">IF(Q48="Dégainer",1,0)</f>
        <v>0</v>
      </c>
    </row>
    <row r="49" spans="1:23" ht="18" thickBot="1" x14ac:dyDescent="0.45">
      <c r="A49" s="23">
        <f t="shared" si="36"/>
        <v>0</v>
      </c>
      <c r="B49" s="172" t="s">
        <v>1545</v>
      </c>
      <c r="C49" s="527"/>
      <c r="D49" s="528"/>
      <c r="E49" s="527"/>
      <c r="F49" s="12"/>
      <c r="G49" s="34"/>
      <c r="H49" s="13" t="str">
        <f t="shared" si="37"/>
        <v/>
      </c>
      <c r="I49" s="34" t="str">
        <f>IF(OR($E$47="",H49=""),"",$E$47)</f>
        <v/>
      </c>
      <c r="J49" s="43">
        <v>0</v>
      </c>
      <c r="K49" s="12"/>
      <c r="L49" s="29"/>
      <c r="M49" s="34"/>
      <c r="N49" s="13" t="str">
        <f t="shared" si="38"/>
        <v/>
      </c>
      <c r="O49" s="34" t="str">
        <f>IF(OR($E$47="",N49=""),"",$E$47)</f>
        <v/>
      </c>
      <c r="P49" s="43">
        <v>0</v>
      </c>
      <c r="Q49" s="12"/>
      <c r="R49" s="29"/>
      <c r="S49" s="34"/>
      <c r="T49" s="13" t="str">
        <f t="shared" si="39"/>
        <v/>
      </c>
      <c r="U49" s="34" t="str">
        <f>IF(OR($E$47="",T49=""),"",$E$47)</f>
        <v/>
      </c>
      <c r="V49" s="49">
        <v>0</v>
      </c>
      <c r="W49" s="23">
        <f t="shared" si="40"/>
        <v>0</v>
      </c>
    </row>
    <row r="50" spans="1:23" ht="18" thickBot="1" x14ac:dyDescent="0.35">
      <c r="A50" s="2"/>
      <c r="B50" s="173" t="s">
        <v>18</v>
      </c>
      <c r="C50" s="30"/>
      <c r="D50" s="16" t="s">
        <v>20</v>
      </c>
      <c r="E50" s="30"/>
      <c r="F50" s="536" t="s">
        <v>2954</v>
      </c>
      <c r="G50" s="537"/>
      <c r="H50" s="537"/>
      <c r="I50" s="537"/>
      <c r="J50" s="537"/>
      <c r="K50" s="537"/>
      <c r="L50" s="537"/>
      <c r="M50" s="537"/>
      <c r="N50" s="537"/>
      <c r="O50" s="537"/>
      <c r="P50" s="537"/>
      <c r="Q50" s="537"/>
      <c r="R50" s="537"/>
      <c r="S50" s="537"/>
      <c r="T50" s="537"/>
      <c r="U50" s="537"/>
      <c r="V50" s="538"/>
      <c r="W50" s="2"/>
    </row>
    <row r="51" spans="1:23" ht="18" thickBot="1" x14ac:dyDescent="0.35">
      <c r="A51" s="2"/>
      <c r="B51" s="174" t="s">
        <v>19</v>
      </c>
      <c r="C51" s="31"/>
      <c r="D51" s="17" t="s">
        <v>20</v>
      </c>
      <c r="E51" s="31"/>
      <c r="F51" s="529" t="s">
        <v>66</v>
      </c>
      <c r="G51" s="530"/>
      <c r="H51" s="530"/>
      <c r="I51" s="530"/>
      <c r="J51" s="530"/>
      <c r="K51" s="530"/>
      <c r="L51" s="530"/>
      <c r="M51" s="530"/>
      <c r="N51" s="530"/>
      <c r="O51" s="530"/>
      <c r="P51" s="530"/>
      <c r="Q51" s="530"/>
      <c r="R51" s="530"/>
      <c r="S51" s="530"/>
      <c r="T51" s="530"/>
      <c r="U51" s="530"/>
      <c r="V51" s="531"/>
      <c r="W51" s="2"/>
    </row>
    <row r="52" spans="1:23" ht="4.2" customHeight="1" thickBot="1" x14ac:dyDescent="0.35">
      <c r="B52" s="553" t="str">
        <f>CONCATENATE(IF(Type_Che="Malin","+2 en Equitation avec le cheval malin uniquement",""))</f>
        <v/>
      </c>
      <c r="C52" s="553"/>
      <c r="D52" s="553"/>
      <c r="E52" s="553"/>
      <c r="F52" s="553"/>
      <c r="G52" s="553"/>
      <c r="H52" s="553"/>
      <c r="I52" s="553"/>
      <c r="J52" s="553"/>
      <c r="K52" s="553"/>
      <c r="L52" s="553"/>
      <c r="M52" s="553"/>
      <c r="N52" s="553"/>
      <c r="O52" s="553"/>
      <c r="P52" s="553"/>
      <c r="Q52" s="553"/>
      <c r="R52" s="553"/>
      <c r="S52" s="553"/>
      <c r="T52" s="553"/>
      <c r="U52" s="553"/>
      <c r="V52" s="553"/>
    </row>
    <row r="53" spans="1:23" ht="16.2" thickBot="1" x14ac:dyDescent="0.35">
      <c r="B53" s="142" t="s">
        <v>1547</v>
      </c>
      <c r="C53" s="523">
        <f>déPerception+déConnaissances+déAstuce</f>
        <v>0</v>
      </c>
      <c r="D53" s="524"/>
      <c r="F53" s="142" t="s">
        <v>1548</v>
      </c>
      <c r="G53" s="523">
        <f>SUM(G12:G32)+SUM(M12:M31)+SUM(S12:S31)+SUM(G36:G49)+SUM(M36:M49)+SUM(S36:S49)-7</f>
        <v>0</v>
      </c>
      <c r="H53" s="524"/>
      <c r="K53" s="22">
        <f>déVigueur+déAme+IF(Enf_Chat=TRUE,-4,0)+IF(Solide1=TRUE,2,IF(Solide2=TRUE,4,IF(Solide3=TRUE,6,IF(Solide4=TRUE,8,IF(Solide5=TRUE,10,0)))))+IF(fatigué1=TRUE,-2,IF(fatigué2=TRUE,-4,IF(fatigué3=TRUE,-6,IF(fatigué4=TRUE,-8,IF(fatigué5=TRUE,-10,0)))))</f>
        <v>0</v>
      </c>
      <c r="L53" s="121" t="str">
        <f>IF(Vérif_Détérré="X","Dominion ?","")</f>
        <v/>
      </c>
      <c r="M53" s="523"/>
      <c r="N53" s="524"/>
      <c r="R53" s="121" t="s">
        <v>2</v>
      </c>
      <c r="S53" s="523">
        <f>IF(Baraqué=TRUE,7,6)+IF(GrosTas1=TRUE,1,IF(GrosTas2=TRUE,2,0))-IF(Rachitique=TRUE,1,0)</f>
        <v>6</v>
      </c>
      <c r="T53" s="524"/>
    </row>
    <row r="54" spans="1:23" ht="4.2" customHeight="1" x14ac:dyDescent="0.3"/>
  </sheetData>
  <mergeCells count="76">
    <mergeCell ref="C4:F4"/>
    <mergeCell ref="J4:K4"/>
    <mergeCell ref="B2:V2"/>
    <mergeCell ref="B52:V52"/>
    <mergeCell ref="B47:B48"/>
    <mergeCell ref="K32:R32"/>
    <mergeCell ref="G35:I35"/>
    <mergeCell ref="M35:O35"/>
    <mergeCell ref="C41:C46"/>
    <mergeCell ref="C47:C49"/>
    <mergeCell ref="D47:D49"/>
    <mergeCell ref="E47:E49"/>
    <mergeCell ref="B41:B46"/>
    <mergeCell ref="B31:B32"/>
    <mergeCell ref="C31:C32"/>
    <mergeCell ref="B34:V34"/>
    <mergeCell ref="B36:B40"/>
    <mergeCell ref="F50:V50"/>
    <mergeCell ref="C12:C15"/>
    <mergeCell ref="D12:D15"/>
    <mergeCell ref="C21:C26"/>
    <mergeCell ref="C27:C30"/>
    <mergeCell ref="D16:D20"/>
    <mergeCell ref="D21:D26"/>
    <mergeCell ref="D27:D30"/>
    <mergeCell ref="C16:C20"/>
    <mergeCell ref="B21:B26"/>
    <mergeCell ref="B33:V33"/>
    <mergeCell ref="C36:C40"/>
    <mergeCell ref="D36:D40"/>
    <mergeCell ref="E31:E32"/>
    <mergeCell ref="B27:B30"/>
    <mergeCell ref="Z45:AA45"/>
    <mergeCell ref="M53:N53"/>
    <mergeCell ref="D41:D46"/>
    <mergeCell ref="E41:E46"/>
    <mergeCell ref="E12:E15"/>
    <mergeCell ref="E21:E26"/>
    <mergeCell ref="E36:E40"/>
    <mergeCell ref="C35:E35"/>
    <mergeCell ref="D31:D32"/>
    <mergeCell ref="S35:U35"/>
    <mergeCell ref="G53:H53"/>
    <mergeCell ref="C53:D53"/>
    <mergeCell ref="F51:V51"/>
    <mergeCell ref="S53:T53"/>
    <mergeCell ref="E27:E30"/>
    <mergeCell ref="E16:E20"/>
    <mergeCell ref="M6:P6"/>
    <mergeCell ref="G6:I6"/>
    <mergeCell ref="C11:E11"/>
    <mergeCell ref="R7:V7"/>
    <mergeCell ref="C7:F7"/>
    <mergeCell ref="G7:I7"/>
    <mergeCell ref="J7:K7"/>
    <mergeCell ref="M7:P7"/>
    <mergeCell ref="C8:F8"/>
    <mergeCell ref="G8:I8"/>
    <mergeCell ref="J8:K8"/>
    <mergeCell ref="M8:V8"/>
    <mergeCell ref="S32:V32"/>
    <mergeCell ref="M4:P4"/>
    <mergeCell ref="R4:V4"/>
    <mergeCell ref="B12:B15"/>
    <mergeCell ref="B16:B20"/>
    <mergeCell ref="R5:V5"/>
    <mergeCell ref="R6:V6"/>
    <mergeCell ref="G11:I11"/>
    <mergeCell ref="M11:O11"/>
    <mergeCell ref="S11:U11"/>
    <mergeCell ref="B10:V10"/>
    <mergeCell ref="C5:F5"/>
    <mergeCell ref="C6:F6"/>
    <mergeCell ref="J5:K5"/>
    <mergeCell ref="J6:K6"/>
    <mergeCell ref="M5:P5"/>
  </mergeCells>
  <dataValidations count="41">
    <dataValidation type="list" allowBlank="1" showInputMessage="1" showErrorMessage="1" sqref="K12:K15 Q12:Q15" xr:uid="{00000000-0002-0000-0100-000000000000}">
      <formula1>Aptitudes_Perc</formula1>
    </dataValidation>
    <dataValidation type="list" allowBlank="1" showInputMessage="1" showErrorMessage="1" sqref="L13:L15" xr:uid="{00000000-0002-0000-0100-000001000000}">
      <formula1>IF($A13=1,Artillerie,IF($A13=2,Arts,""))</formula1>
    </dataValidation>
    <dataValidation type="list" allowBlank="1" showInputMessage="1" showErrorMessage="1" sqref="L12" xr:uid="{00000000-0002-0000-0100-000002000000}">
      <formula1>IF(A12=1,Artillerie,IF(A12=2,Arts,""))</formula1>
    </dataValidation>
    <dataValidation type="list" allowBlank="1" showInputMessage="1" showErrorMessage="1" sqref="R12:R15" xr:uid="{00000000-0002-0000-0100-000003000000}">
      <formula1>IF(W12=1,Artillerie,IF(W12=2,Arts,""))</formula1>
    </dataValidation>
    <dataValidation type="list" allowBlank="1" showInputMessage="1" showErrorMessage="1" sqref="K16:K20 Q16:Q20" xr:uid="{00000000-0002-0000-0100-000004000000}">
      <formula1>Aptitudes_Con</formula1>
    </dataValidation>
    <dataValidation type="list" allowBlank="1" showInputMessage="1" showErrorMessage="1" sqref="R16:R20" xr:uid="{00000000-0002-0000-0100-000005000000}">
      <formula1>IF(W16=1,Carrière,IF(W16=2,Territoires,IF(W16=3,Langues,IF(W16=4,Métiers,IF(W16=5,Médecine,IF(W16=6,Science,IF(W16=7,Universalis,"")))))))</formula1>
    </dataValidation>
    <dataValidation type="list" allowBlank="1" showInputMessage="1" showErrorMessage="1" sqref="L17:L20" xr:uid="{00000000-0002-0000-0100-000006000000}">
      <formula1>IF(A17=1,Carrière,IF(A17=2,Territoires,IF(A17=3,Langues,IF(A17=4,Métiers,IF(A17=5,Médecine,IF(A17=6,Science,IF(A17=7,Universalis,"")))))))</formula1>
    </dataValidation>
    <dataValidation type="list" allowBlank="1" showInputMessage="1" showErrorMessage="1" sqref="K21:K26 Q21:Q26" xr:uid="{00000000-0002-0000-0100-000007000000}">
      <formula1>Aptitudes_Astuce</formula1>
    </dataValidation>
    <dataValidation type="list" allowBlank="1" showInputMessage="1" showErrorMessage="1" sqref="K27:K30 Q27:Q30" xr:uid="{00000000-0002-0000-0100-000008000000}">
      <formula1>Aptitudes_Charisme</formula1>
    </dataValidation>
    <dataValidation type="list" allowBlank="1" showInputMessage="1" showErrorMessage="1" sqref="K36:K40 Q36:Q40" xr:uid="{00000000-0002-0000-0100-000009000000}">
      <formula1>Aptitudes_Dextérité</formula1>
    </dataValidation>
    <dataValidation type="list" allowBlank="1" showInputMessage="1" showErrorMessage="1" sqref="K41:K46 Q41:Q46" xr:uid="{00000000-0002-0000-0100-00000A000000}">
      <formula1>Aptitudes_Agilité</formula1>
    </dataValidation>
    <dataValidation type="list" allowBlank="1" showInputMessage="1" showErrorMessage="1" sqref="K47:K49 Q47:Q49" xr:uid="{00000000-0002-0000-0100-00000B000000}">
      <formula1>Aptitudes_Rapidité</formula1>
    </dataValidation>
    <dataValidation type="list" allowBlank="1" showInputMessage="1" showErrorMessage="1" sqref="L27:L30" xr:uid="{00000000-0002-0000-0100-00000C000000}">
      <formula1>IF(A27=1,Dressage,IF(A27=2,Spectacle,""))</formula1>
    </dataValidation>
    <dataValidation type="list" allowBlank="1" showInputMessage="1" showErrorMessage="1" sqref="R27:R30" xr:uid="{00000000-0002-0000-0100-00000D000000}">
      <formula1>IF(W27=1,Dressage,IF(W27=2,Spectacle,""))</formula1>
    </dataValidation>
    <dataValidation type="list" allowBlank="1" showInputMessage="1" showErrorMessage="1" sqref="L36:L40" xr:uid="{00000000-0002-0000-0100-00000E000000}">
      <formula1>IF(A36=1,Lancer,IF(A36=2,Recharge_rapide,IF(A36=3,Tirer,0)))</formula1>
    </dataValidation>
    <dataValidation type="list" allowBlank="1" showInputMessage="1" showErrorMessage="1" sqref="R36:R40" xr:uid="{00000000-0002-0000-0100-00000F000000}">
      <formula1>IF(W36=1,Lancer,IF(W36=2,Recharge_rapide,IF(W36=3,Tirer,0)))</formula1>
    </dataValidation>
    <dataValidation type="list" allowBlank="1" showInputMessage="1" showErrorMessage="1" sqref="L41:L46" xr:uid="{00000000-0002-0000-0100-000010000000}">
      <formula1>IF(A41=1,Combatdis,IF(A41=2,Conduire,""))</formula1>
    </dataValidation>
    <dataValidation type="list" allowBlank="1" showInputMessage="1" showErrorMessage="1" sqref="R41:R46" xr:uid="{00000000-0002-0000-0100-000011000000}">
      <formula1>IF(W41=1,Combatdis,IF(W41=2,Conduire,""))</formula1>
    </dataValidation>
    <dataValidation type="list" allowBlank="1" showInputMessage="1" showErrorMessage="1" sqref="L47:L49" xr:uid="{00000000-0002-0000-0100-000012000000}">
      <formula1>IF(A47=1,Dégainer,"")</formula1>
    </dataValidation>
    <dataValidation type="list" allowBlank="1" showInputMessage="1" showErrorMessage="1" sqref="R47:R49" xr:uid="{00000000-0002-0000-0100-000013000000}">
      <formula1>IF(W47=1,Dégainer,"")</formula1>
    </dataValidation>
    <dataValidation type="list" allowBlank="1" showInputMessage="1" showErrorMessage="1" sqref="C6:F6" xr:uid="{00000000-0002-0000-0100-000014000000}">
      <formula1>Sexe</formula1>
    </dataValidation>
    <dataValidation type="list" allowBlank="1" showInputMessage="1" showErrorMessage="1" sqref="J5:K5" xr:uid="{00000000-0002-0000-0100-000015000000}">
      <formula1>Taille</formula1>
    </dataValidation>
    <dataValidation type="list" allowBlank="1" showInputMessage="1" showErrorMessage="1" sqref="J6:K6" xr:uid="{00000000-0002-0000-0100-000016000000}">
      <formula1>Age</formula1>
    </dataValidation>
    <dataValidation type="list" allowBlank="1" showInputMessage="1" showErrorMessage="1" sqref="M5:P5" xr:uid="{00000000-0002-0000-0100-000017000000}">
      <formula1>Cheveux</formula1>
    </dataValidation>
    <dataValidation type="list" allowBlank="1" showInputMessage="1" showErrorMessage="1" sqref="M6:P6" xr:uid="{00000000-0002-0000-0100-000018000000}">
      <formula1>Yeux</formula1>
    </dataValidation>
    <dataValidation type="list" allowBlank="1" showInputMessage="1" showErrorMessage="1" sqref="R5:V5" xr:uid="{00000000-0002-0000-0100-000019000000}">
      <formula1>Métiers</formula1>
    </dataValidation>
    <dataValidation type="list" allowBlank="1" showInputMessage="1" showErrorMessage="1" sqref="R6:V6" xr:uid="{00000000-0002-0000-0100-00001A000000}">
      <formula1>Statut_Marital</formula1>
    </dataValidation>
    <dataValidation type="list" allowBlank="1" showInputMessage="1" showErrorMessage="1" sqref="K31 Q31" xr:uid="{00000000-0002-0000-0100-00001B000000}">
      <formula1>Aptitudes_Ame</formula1>
    </dataValidation>
    <dataValidation type="list" allowBlank="1" showInputMessage="1" showErrorMessage="1" sqref="E21:E32 E12:E16 E36:E40 E47:E49 E51" xr:uid="{00000000-0002-0000-0100-00001C000000}">
      <formula1>Dés</formula1>
    </dataValidation>
    <dataValidation type="list" allowBlank="1" showInputMessage="1" showErrorMessage="1" sqref="C7:F7" xr:uid="{00000000-0002-0000-0100-00001D000000}">
      <formula1>Ethnie</formula1>
    </dataValidation>
    <dataValidation type="list" allowBlank="1" showInputMessage="1" showErrorMessage="1" sqref="C8" xr:uid="{00000000-0002-0000-0100-00001E000000}">
      <formula1>Signes</formula1>
    </dataValidation>
    <dataValidation type="list" allowBlank="1" showInputMessage="1" showErrorMessage="1" sqref="R7:V7" xr:uid="{00000000-0002-0000-0100-00001F000000}">
      <formula1>Dextrie</formula1>
    </dataValidation>
    <dataValidation type="list" allowBlank="1" showInputMessage="1" showErrorMessage="1" sqref="J7:K7" xr:uid="{00000000-0002-0000-0100-000020000000}">
      <formula1>Poids</formula1>
    </dataValidation>
    <dataValidation type="list" allowBlank="1" showInputMessage="1" showErrorMessage="1" sqref="M7:P7" xr:uid="{00000000-0002-0000-0100-000021000000}">
      <formula1>Signe_Astraux</formula1>
    </dataValidation>
    <dataValidation type="list" allowBlank="1" showInputMessage="1" showErrorMessage="1" sqref="E41:E46" xr:uid="{00000000-0002-0000-0100-000022000000}">
      <formula1>Dé_Ag</formula1>
    </dataValidation>
    <dataValidation type="list" allowBlank="1" showInputMessage="1" showErrorMessage="1" sqref="E50" xr:uid="{00000000-0002-0000-0100-000023000000}">
      <formula1>dé_Forc</formula1>
    </dataValidation>
    <dataValidation type="list" allowBlank="1" showInputMessage="1" showErrorMessage="1" sqref="M4:P4" xr:uid="{00000000-0002-0000-0100-000024000000}">
      <formula1>Année</formula1>
    </dataValidation>
    <dataValidation type="list" allowBlank="1" showInputMessage="1" showErrorMessage="1" sqref="J8:K8" xr:uid="{00000000-0002-0000-0100-000025000000}">
      <formula1>Religions</formula1>
    </dataValidation>
    <dataValidation type="list" allowBlank="1" showInputMessage="1" showErrorMessage="1" sqref="J4:K4" xr:uid="{00000000-0002-0000-0100-000027000000}">
      <formula1>Territoires</formula1>
    </dataValidation>
    <dataValidation type="list" allowBlank="1" showInputMessage="1" showErrorMessage="1" sqref="L21:L26" xr:uid="{00000000-0002-0000-0100-000028000000}">
      <formula1>IF(A21=1,Survie,IF(A21=2,Jeux,""))</formula1>
    </dataValidation>
    <dataValidation type="list" allowBlank="1" showInputMessage="1" showErrorMessage="1" sqref="R21:R26" xr:uid="{00000000-0002-0000-0100-000029000000}">
      <formula1>IF(W21=1,Survie,IF(W21=2,Jeux,""))</formula1>
    </dataValidation>
  </dataValidations>
  <pageMargins left="0.23622047244094491" right="0.23622047244094491" top="0.39370078740157483"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8">
    <tabColor rgb="FF6CFB25"/>
  </sheetPr>
  <dimension ref="A1:Y37"/>
  <sheetViews>
    <sheetView zoomScale="115" zoomScaleNormal="115" workbookViewId="0">
      <selection activeCell="H18" sqref="H18"/>
    </sheetView>
  </sheetViews>
  <sheetFormatPr baseColWidth="10" defaultRowHeight="14.4" x14ac:dyDescent="0.3"/>
  <cols>
    <col min="1" max="1" width="0.5546875" customWidth="1"/>
    <col min="2" max="2" width="12.6640625" customWidth="1"/>
    <col min="3" max="3" width="5.6640625" customWidth="1"/>
    <col min="4" max="4" width="8.44140625" customWidth="1"/>
    <col min="5" max="5" width="7.6640625" customWidth="1"/>
    <col min="6" max="6" width="5.44140625" customWidth="1"/>
    <col min="7" max="8" width="8.33203125" style="58" customWidth="1"/>
    <col min="9" max="9" width="1.5546875" style="58" customWidth="1"/>
    <col min="10" max="10" width="11.5546875" style="58" customWidth="1"/>
    <col min="11" max="11" width="3.109375" style="58" customWidth="1"/>
    <col min="12" max="12" width="8.88671875" style="58" customWidth="1"/>
    <col min="13" max="13" width="2.6640625" style="58" customWidth="1"/>
    <col min="14" max="14" width="4.6640625" style="58" customWidth="1"/>
    <col min="15" max="15" width="1" style="58" customWidth="1"/>
    <col min="16" max="16" width="3.109375" style="58" customWidth="1"/>
    <col min="17" max="17" width="8.109375" style="58" customWidth="1"/>
    <col min="18" max="18" width="4.109375" style="58" customWidth="1"/>
    <col min="19" max="19" width="8.6640625" style="58" customWidth="1"/>
    <col min="20" max="20" width="4.109375" style="58" customWidth="1"/>
    <col min="21" max="21" width="9" style="58" customWidth="1"/>
    <col min="22" max="22" width="3.44140625" customWidth="1"/>
    <col min="23" max="23" width="1.33203125" customWidth="1"/>
    <col min="24" max="24" width="5.6640625" customWidth="1"/>
    <col min="25" max="25" width="4.44140625" customWidth="1"/>
    <col min="26" max="26" width="0.5546875" customWidth="1"/>
  </cols>
  <sheetData>
    <row r="1" spans="1:25" ht="5.25" customHeight="1" thickBot="1" x14ac:dyDescent="0.35">
      <c r="A1" t="s">
        <v>4040</v>
      </c>
    </row>
    <row r="2" spans="1:25" ht="17.399999999999999" x14ac:dyDescent="0.4">
      <c r="B2" s="604" t="s">
        <v>997</v>
      </c>
      <c r="C2" s="605"/>
      <c r="D2" s="605"/>
      <c r="E2" s="605"/>
      <c r="F2" s="605"/>
      <c r="G2" s="605"/>
      <c r="H2" s="605"/>
      <c r="I2" s="605"/>
      <c r="J2" s="605"/>
      <c r="K2" s="605"/>
      <c r="L2" s="605"/>
      <c r="M2" s="605"/>
      <c r="N2" s="605"/>
      <c r="O2" s="605"/>
      <c r="P2" s="605"/>
      <c r="Q2" s="605"/>
      <c r="R2" s="605"/>
      <c r="S2" s="605"/>
      <c r="T2" s="605"/>
      <c r="U2" s="605"/>
      <c r="V2" s="605"/>
      <c r="W2" s="605"/>
      <c r="X2" s="605"/>
      <c r="Y2" s="606"/>
    </row>
    <row r="3" spans="1:25" s="61" customFormat="1" ht="13.2" customHeight="1" x14ac:dyDescent="0.3">
      <c r="B3" s="181" t="s">
        <v>396</v>
      </c>
      <c r="C3" s="646" t="s">
        <v>0</v>
      </c>
      <c r="D3" s="646"/>
      <c r="E3" s="646"/>
      <c r="F3" s="198" t="s">
        <v>1287</v>
      </c>
      <c r="G3" s="198" t="s">
        <v>2526</v>
      </c>
      <c r="H3" s="639" t="s">
        <v>2527</v>
      </c>
      <c r="I3" s="640"/>
      <c r="J3" s="198" t="s">
        <v>950</v>
      </c>
      <c r="K3" s="646" t="s">
        <v>951</v>
      </c>
      <c r="L3" s="646"/>
      <c r="M3" s="198" t="s">
        <v>2079</v>
      </c>
      <c r="N3" s="646" t="s">
        <v>957</v>
      </c>
      <c r="O3" s="646"/>
      <c r="P3" s="646"/>
      <c r="Q3" s="198" t="s">
        <v>215</v>
      </c>
      <c r="R3" s="646" t="s">
        <v>2528</v>
      </c>
      <c r="S3" s="646"/>
      <c r="T3" s="646"/>
      <c r="U3" s="646"/>
      <c r="V3" s="646"/>
      <c r="W3" s="646"/>
      <c r="X3" s="646"/>
      <c r="Y3" s="647"/>
    </row>
    <row r="4" spans="1:25" ht="22.2" customHeight="1" x14ac:dyDescent="0.3">
      <c r="A4" s="171">
        <f>IF(B4="Sort",1,IF(B4="Pouvoir ki",2,IF(B4="Miracle",3,IF(B4="Magie du sang",4,IF(B4="Vaudouisme",5,IF(B4="Rituels",6,IF(B4="Int. divine",7,IF(B4="Faveurs",8,IF(B4="Détérré",9,IF(B4="Sort technologique",10,0))))))))))</f>
        <v>0</v>
      </c>
      <c r="B4" s="195"/>
      <c r="C4" s="508"/>
      <c r="D4" s="509"/>
      <c r="E4" s="510"/>
      <c r="F4" s="85"/>
      <c r="G4" s="397" t="str">
        <f>IF(C4="","",VLOOKUP(C4,Surnatural!B:H,2,FALSE))</f>
        <v/>
      </c>
      <c r="H4" s="629" t="str">
        <f>IF(C4="","",VLOOKUP(C4,Surnatural!B:H,3,FALSE))</f>
        <v/>
      </c>
      <c r="I4" s="629"/>
      <c r="J4" s="197" t="str">
        <f>IF(C4="","",VLOOKUP(C4,Surnatural!B:H,4,FALSE))</f>
        <v/>
      </c>
      <c r="K4" s="569" t="str">
        <f>IF(C4="","",VLOOKUP(C4,Surnatural!B:H,5,FALSE))</f>
        <v/>
      </c>
      <c r="L4" s="569"/>
      <c r="M4" s="398" t="str">
        <f>IF(C4="","",VLOOKUP(C4,Surnatural!B:H,6,FALSE))</f>
        <v/>
      </c>
      <c r="N4" s="569" t="str">
        <f>IF(C4="","",VLOOKUP(C4,Surnatural!B:H,7,FALSE))</f>
        <v/>
      </c>
      <c r="O4" s="569"/>
      <c r="P4" s="569"/>
      <c r="Q4" s="177" t="str">
        <f>IF(C4="","",VLOOKUP(C4,Surnatural!B:I,8,FALSE))</f>
        <v/>
      </c>
      <c r="R4" s="578" t="str">
        <f>IF(C4="","",VLOOKUP(C4,Surnatural!B:J,9,FALSE))</f>
        <v/>
      </c>
      <c r="S4" s="578"/>
      <c r="T4" s="578"/>
      <c r="U4" s="578"/>
      <c r="V4" s="578"/>
      <c r="W4" s="578"/>
      <c r="X4" s="578"/>
      <c r="Y4" s="579"/>
    </row>
    <row r="5" spans="1:25" ht="22.2" customHeight="1" x14ac:dyDescent="0.3">
      <c r="A5" s="171">
        <f t="shared" ref="A5:A13" si="0">IF(B5="Sort",1,IF(B5="Pouvoir ki",2,IF(B5="Miracle",3,IF(B5="Magie du sang",4,IF(B5="Vaudouisme",5,IF(B5="Rituels",6,IF(B5="Int. divine",7,IF(B5="Faveurs",8,IF(B5="Détérré",9,IF(B5="Sort technologique",10,0))))))))))</f>
        <v>0</v>
      </c>
      <c r="B5" s="195"/>
      <c r="C5" s="508"/>
      <c r="D5" s="509"/>
      <c r="E5" s="510"/>
      <c r="F5" s="85"/>
      <c r="G5" s="397" t="str">
        <f>IF(C5="","",VLOOKUP(C5,Surnatural!B:H,2,FALSE))</f>
        <v/>
      </c>
      <c r="H5" s="629" t="str">
        <f>IF(C5="","",VLOOKUP(C5,Surnatural!B:H,3,FALSE))</f>
        <v/>
      </c>
      <c r="I5" s="629"/>
      <c r="J5" s="197" t="str">
        <f>IF(C5="","",VLOOKUP(C5,Surnatural!B:H,4,FALSE))</f>
        <v/>
      </c>
      <c r="K5" s="569" t="str">
        <f>IF(C5="","",VLOOKUP(C5,Surnatural!B:H,5,FALSE))</f>
        <v/>
      </c>
      <c r="L5" s="569"/>
      <c r="M5" s="177" t="str">
        <f>IF(C5="","",VLOOKUP(C5,Surnatural!B:H,6,FALSE))</f>
        <v/>
      </c>
      <c r="N5" s="569" t="str">
        <f>IF(C5="","",VLOOKUP(C5,Surnatural!B:H,7,FALSE))</f>
        <v/>
      </c>
      <c r="O5" s="569"/>
      <c r="P5" s="569"/>
      <c r="Q5" s="177" t="str">
        <f>IF(C5="","",VLOOKUP(C5,Surnatural!B:I,8,FALSE))</f>
        <v/>
      </c>
      <c r="R5" s="578" t="str">
        <f>IF(C5="","",VLOOKUP(C5,Surnatural!B:J,9,FALSE))</f>
        <v/>
      </c>
      <c r="S5" s="578"/>
      <c r="T5" s="578"/>
      <c r="U5" s="578"/>
      <c r="V5" s="578"/>
      <c r="W5" s="578"/>
      <c r="X5" s="578"/>
      <c r="Y5" s="579"/>
    </row>
    <row r="6" spans="1:25" ht="22.2" customHeight="1" x14ac:dyDescent="0.3">
      <c r="A6" s="171">
        <f t="shared" si="0"/>
        <v>0</v>
      </c>
      <c r="B6" s="195"/>
      <c r="C6" s="508"/>
      <c r="D6" s="509"/>
      <c r="E6" s="510"/>
      <c r="F6" s="85"/>
      <c r="G6" s="397" t="str">
        <f>IF(C6="","",VLOOKUP(C6,Surnatural!B:H,2,FALSE))</f>
        <v/>
      </c>
      <c r="H6" s="629" t="str">
        <f>IF(C6="","",VLOOKUP(C6,Surnatural!B:H,3,FALSE))</f>
        <v/>
      </c>
      <c r="I6" s="629"/>
      <c r="J6" s="197" t="str">
        <f>IF(C6="","",VLOOKUP(C6,Surnatural!B:H,4,FALSE))</f>
        <v/>
      </c>
      <c r="K6" s="569" t="str">
        <f>IF(C6="","",VLOOKUP(C6,Surnatural!B:H,5,FALSE))</f>
        <v/>
      </c>
      <c r="L6" s="569"/>
      <c r="M6" s="177" t="str">
        <f>IF(C6="","",VLOOKUP(C6,Surnatural!B:H,6,FALSE))</f>
        <v/>
      </c>
      <c r="N6" s="569" t="str">
        <f>IF(C6="","",VLOOKUP(C6,Surnatural!B:H,7,FALSE))</f>
        <v/>
      </c>
      <c r="O6" s="569"/>
      <c r="P6" s="569"/>
      <c r="Q6" s="177" t="str">
        <f>IF(C6="","",VLOOKUP(C6,Surnatural!B:I,8,FALSE))</f>
        <v/>
      </c>
      <c r="R6" s="578" t="str">
        <f>IF(C6="","",VLOOKUP(C6,Surnatural!B:J,9,FALSE))</f>
        <v/>
      </c>
      <c r="S6" s="578"/>
      <c r="T6" s="578"/>
      <c r="U6" s="578"/>
      <c r="V6" s="578"/>
      <c r="W6" s="578"/>
      <c r="X6" s="578"/>
      <c r="Y6" s="579"/>
    </row>
    <row r="7" spans="1:25" ht="22.2" customHeight="1" x14ac:dyDescent="0.3">
      <c r="A7" s="171">
        <f t="shared" si="0"/>
        <v>0</v>
      </c>
      <c r="B7" s="195"/>
      <c r="C7" s="508"/>
      <c r="D7" s="509"/>
      <c r="E7" s="510"/>
      <c r="F7" s="85"/>
      <c r="G7" s="397" t="str">
        <f>IF(C7="","",VLOOKUP(C7,Surnatural!B:H,2,FALSE))</f>
        <v/>
      </c>
      <c r="H7" s="629" t="str">
        <f>IF(C7="","",VLOOKUP(C7,Surnatural!B:H,3,FALSE))</f>
        <v/>
      </c>
      <c r="I7" s="629"/>
      <c r="J7" s="197" t="str">
        <f>IF(C7="","",VLOOKUP(C7,Surnatural!B:H,4,FALSE))</f>
        <v/>
      </c>
      <c r="K7" s="569" t="str">
        <f>IF(C7="","",VLOOKUP(C7,Surnatural!B:H,5,FALSE))</f>
        <v/>
      </c>
      <c r="L7" s="569"/>
      <c r="M7" s="177" t="str">
        <f>IF(C7="","",VLOOKUP(C7,Surnatural!B:H,6,FALSE))</f>
        <v/>
      </c>
      <c r="N7" s="569" t="str">
        <f>IF(C7="","",VLOOKUP(C7,Surnatural!B:H,7,FALSE))</f>
        <v/>
      </c>
      <c r="O7" s="569"/>
      <c r="P7" s="569"/>
      <c r="Q7" s="177" t="str">
        <f>IF(C7="","",VLOOKUP(C7,Surnatural!B:I,8,FALSE))</f>
        <v/>
      </c>
      <c r="R7" s="578" t="str">
        <f>IF(C7="","",VLOOKUP(C7,Surnatural!B:J,9,FALSE))</f>
        <v/>
      </c>
      <c r="S7" s="578"/>
      <c r="T7" s="578"/>
      <c r="U7" s="578"/>
      <c r="V7" s="578"/>
      <c r="W7" s="578"/>
      <c r="X7" s="578"/>
      <c r="Y7" s="579"/>
    </row>
    <row r="8" spans="1:25" ht="22.2" customHeight="1" x14ac:dyDescent="0.3">
      <c r="A8" s="171">
        <f t="shared" si="0"/>
        <v>0</v>
      </c>
      <c r="B8" s="195"/>
      <c r="C8" s="508"/>
      <c r="D8" s="509"/>
      <c r="E8" s="510"/>
      <c r="F8" s="85"/>
      <c r="G8" s="397" t="str">
        <f>IF(C8="","",VLOOKUP(C8,Surnatural!B:H,2,FALSE))</f>
        <v/>
      </c>
      <c r="H8" s="629" t="str">
        <f>IF(C8="","",VLOOKUP(C8,Surnatural!B:H,3,FALSE))</f>
        <v/>
      </c>
      <c r="I8" s="629"/>
      <c r="J8" s="197" t="str">
        <f>IF(C8="","",VLOOKUP(C8,Surnatural!B:H,4,FALSE))</f>
        <v/>
      </c>
      <c r="K8" s="569" t="str">
        <f>IF(C8="","",VLOOKUP(C8,Surnatural!B:H,5,FALSE))</f>
        <v/>
      </c>
      <c r="L8" s="569"/>
      <c r="M8" s="177" t="str">
        <f>IF(C8="","",VLOOKUP(C8,Surnatural!B:H,6,FALSE))</f>
        <v/>
      </c>
      <c r="N8" s="569" t="str">
        <f>IF(C8="","",VLOOKUP(C8,Surnatural!B:H,7,FALSE))</f>
        <v/>
      </c>
      <c r="O8" s="569"/>
      <c r="P8" s="569"/>
      <c r="Q8" s="177" t="str">
        <f>IF(C8="","",VLOOKUP(C8,Surnatural!B:I,8,FALSE))</f>
        <v/>
      </c>
      <c r="R8" s="578" t="str">
        <f>IF(C8="","",VLOOKUP(C8,Surnatural!B:J,9,FALSE))</f>
        <v/>
      </c>
      <c r="S8" s="578"/>
      <c r="T8" s="578"/>
      <c r="U8" s="578"/>
      <c r="V8" s="578"/>
      <c r="W8" s="578"/>
      <c r="X8" s="578"/>
      <c r="Y8" s="579"/>
    </row>
    <row r="9" spans="1:25" ht="22.2" customHeight="1" x14ac:dyDescent="0.3">
      <c r="A9" s="171">
        <f t="shared" si="0"/>
        <v>0</v>
      </c>
      <c r="B9" s="195"/>
      <c r="C9" s="508"/>
      <c r="D9" s="509"/>
      <c r="E9" s="510"/>
      <c r="F9" s="85"/>
      <c r="G9" s="397" t="str">
        <f>IF(C9="","",VLOOKUP(C9,Surnatural!B:H,2,FALSE))</f>
        <v/>
      </c>
      <c r="H9" s="629" t="str">
        <f>IF(C9="","",VLOOKUP(C9,Surnatural!B:H,3,FALSE))</f>
        <v/>
      </c>
      <c r="I9" s="629"/>
      <c r="J9" s="197" t="str">
        <f>IF(C9="","",VLOOKUP(C9,Surnatural!B:H,4,FALSE))</f>
        <v/>
      </c>
      <c r="K9" s="569" t="str">
        <f>IF(C9="","",VLOOKUP(C9,Surnatural!B:H,5,FALSE))</f>
        <v/>
      </c>
      <c r="L9" s="569"/>
      <c r="M9" s="177" t="str">
        <f>IF(C9="","",VLOOKUP(C9,Surnatural!B:H,6,FALSE))</f>
        <v/>
      </c>
      <c r="N9" s="569" t="str">
        <f>IF(C9="","",VLOOKUP(C9,Surnatural!B:H,7,FALSE))</f>
        <v/>
      </c>
      <c r="O9" s="569"/>
      <c r="P9" s="569"/>
      <c r="Q9" s="177" t="str">
        <f>IF(C9="","",VLOOKUP(C9,Surnatural!B:I,8,FALSE))</f>
        <v/>
      </c>
      <c r="R9" s="578" t="str">
        <f>IF(C9="","",VLOOKUP(C9,Surnatural!B:J,9,FALSE))</f>
        <v/>
      </c>
      <c r="S9" s="578"/>
      <c r="T9" s="578"/>
      <c r="U9" s="578"/>
      <c r="V9" s="578"/>
      <c r="W9" s="578"/>
      <c r="X9" s="578"/>
      <c r="Y9" s="579"/>
    </row>
    <row r="10" spans="1:25" ht="22.2" customHeight="1" x14ac:dyDescent="0.3">
      <c r="A10" s="171">
        <f t="shared" si="0"/>
        <v>0</v>
      </c>
      <c r="B10" s="195"/>
      <c r="C10" s="508"/>
      <c r="D10" s="509"/>
      <c r="E10" s="510"/>
      <c r="F10" s="85"/>
      <c r="G10" s="397" t="str">
        <f>IF(C10="","",VLOOKUP(C10,Surnatural!B:H,2,FALSE))</f>
        <v/>
      </c>
      <c r="H10" s="629" t="str">
        <f>IF(C10="","",VLOOKUP(C10,Surnatural!B:H,3,FALSE))</f>
        <v/>
      </c>
      <c r="I10" s="629"/>
      <c r="J10" s="197" t="str">
        <f>IF(C10="","",VLOOKUP(C10,Surnatural!B:H,4,FALSE))</f>
        <v/>
      </c>
      <c r="K10" s="569" t="str">
        <f>IF(C10="","",VLOOKUP(C10,Surnatural!B:H,5,FALSE))</f>
        <v/>
      </c>
      <c r="L10" s="569"/>
      <c r="M10" s="397"/>
      <c r="N10" s="569" t="str">
        <f>IF(C10="","",VLOOKUP(C10,Surnatural!B:H,7,FALSE))</f>
        <v/>
      </c>
      <c r="O10" s="569"/>
      <c r="P10" s="569"/>
      <c r="Q10" s="177" t="str">
        <f>IF(C10="","",VLOOKUP(C10,Surnatural!B:I,8,FALSE))</f>
        <v/>
      </c>
      <c r="R10" s="578" t="str">
        <f>IF(C10="","",VLOOKUP(C10,Surnatural!B:J,9,FALSE))</f>
        <v/>
      </c>
      <c r="S10" s="578"/>
      <c r="T10" s="578"/>
      <c r="U10" s="578"/>
      <c r="V10" s="578"/>
      <c r="W10" s="578"/>
      <c r="X10" s="578"/>
      <c r="Y10" s="579"/>
    </row>
    <row r="11" spans="1:25" ht="22.2" customHeight="1" x14ac:dyDescent="0.3">
      <c r="A11" s="171">
        <f t="shared" si="0"/>
        <v>0</v>
      </c>
      <c r="B11" s="195"/>
      <c r="C11" s="508"/>
      <c r="D11" s="509"/>
      <c r="E11" s="510"/>
      <c r="F11" s="85"/>
      <c r="G11" s="397" t="str">
        <f>IF(C11="","",VLOOKUP(C11,Surnatural!B:H,2,FALSE))</f>
        <v/>
      </c>
      <c r="H11" s="629" t="str">
        <f>IF(C11="","",VLOOKUP(C11,Surnatural!B:H,3,FALSE))</f>
        <v/>
      </c>
      <c r="I11" s="629"/>
      <c r="J11" s="197" t="str">
        <f>IF(C11="","",VLOOKUP(C11,Surnatural!B:H,4,FALSE))</f>
        <v/>
      </c>
      <c r="K11" s="569" t="str">
        <f>IF(C11="","",VLOOKUP(C11,Surnatural!B:H,5,FALSE))</f>
        <v/>
      </c>
      <c r="L11" s="569"/>
      <c r="M11" s="177" t="str">
        <f>IF(C11="","",VLOOKUP(C11,Surnatural!B:H,6,FALSE))</f>
        <v/>
      </c>
      <c r="N11" s="569" t="str">
        <f>IF(C11="","",VLOOKUP(C11,Surnatural!B:H,7,FALSE))</f>
        <v/>
      </c>
      <c r="O11" s="569"/>
      <c r="P11" s="569"/>
      <c r="Q11" s="177" t="str">
        <f>IF(C11="","",VLOOKUP(C11,Surnatural!B:I,8,FALSE))</f>
        <v/>
      </c>
      <c r="R11" s="578" t="str">
        <f>IF(C11="","",VLOOKUP(C11,Surnatural!B:J,9,FALSE))</f>
        <v/>
      </c>
      <c r="S11" s="578"/>
      <c r="T11" s="578"/>
      <c r="U11" s="578"/>
      <c r="V11" s="578"/>
      <c r="W11" s="578"/>
      <c r="X11" s="578"/>
      <c r="Y11" s="579"/>
    </row>
    <row r="12" spans="1:25" ht="22.2" customHeight="1" x14ac:dyDescent="0.3">
      <c r="A12" s="171">
        <f t="shared" si="0"/>
        <v>0</v>
      </c>
      <c r="B12" s="195"/>
      <c r="C12" s="508"/>
      <c r="D12" s="509"/>
      <c r="E12" s="510"/>
      <c r="F12" s="85"/>
      <c r="G12" s="397" t="str">
        <f>IF(C12="","",VLOOKUP(C12,Surnatural!B:H,2,FALSE))</f>
        <v/>
      </c>
      <c r="H12" s="629" t="str">
        <f>IF(C12="","",VLOOKUP(C12,Surnatural!B:H,3,FALSE))</f>
        <v/>
      </c>
      <c r="I12" s="629"/>
      <c r="J12" s="197" t="str">
        <f>IF(C12="","",VLOOKUP(C12,Surnatural!B:H,4,FALSE))</f>
        <v/>
      </c>
      <c r="K12" s="569" t="str">
        <f>IF(C12="","",VLOOKUP(C12,Surnatural!B:H,5,FALSE))</f>
        <v/>
      </c>
      <c r="L12" s="569"/>
      <c r="M12" s="177" t="str">
        <f>IF(C12="","",VLOOKUP(C12,Surnatural!B:H,6,FALSE))</f>
        <v/>
      </c>
      <c r="N12" s="569" t="str">
        <f>IF(C12="","",VLOOKUP(C12,Surnatural!B:H,7,FALSE))</f>
        <v/>
      </c>
      <c r="O12" s="569"/>
      <c r="P12" s="569"/>
      <c r="Q12" s="177" t="str">
        <f>IF(C12="","",VLOOKUP(C12,Surnatural!B:I,8,FALSE))</f>
        <v/>
      </c>
      <c r="R12" s="578" t="str">
        <f>IF(C12="","",VLOOKUP(C12,Surnatural!B:J,9,FALSE))</f>
        <v/>
      </c>
      <c r="S12" s="578"/>
      <c r="T12" s="578"/>
      <c r="U12" s="578"/>
      <c r="V12" s="578"/>
      <c r="W12" s="578"/>
      <c r="X12" s="578"/>
      <c r="Y12" s="579"/>
    </row>
    <row r="13" spans="1:25" ht="22.2" customHeight="1" thickBot="1" x14ac:dyDescent="0.35">
      <c r="A13" s="171">
        <f t="shared" si="0"/>
        <v>0</v>
      </c>
      <c r="B13" s="196"/>
      <c r="C13" s="575"/>
      <c r="D13" s="576"/>
      <c r="E13" s="577"/>
      <c r="F13" s="102"/>
      <c r="G13" s="396" t="str">
        <f>IF(C13="","",VLOOKUP(C13,Surnatural!B:H,2,FALSE))</f>
        <v/>
      </c>
      <c r="H13" s="630" t="str">
        <f>IF(C13="","",VLOOKUP(C13,Surnatural!B:H,3,FALSE))</f>
        <v/>
      </c>
      <c r="I13" s="630"/>
      <c r="J13" s="199" t="str">
        <f>IF(C13="","",VLOOKUP(C13,Surnatural!B:H,4,FALSE))</f>
        <v/>
      </c>
      <c r="K13" s="631" t="str">
        <f>IF(C13="","",VLOOKUP(C13,Surnatural!B:H,5,FALSE))</f>
        <v/>
      </c>
      <c r="L13" s="631"/>
      <c r="M13" s="179" t="str">
        <f>IF(C13="","",VLOOKUP(C13,Surnatural!B:H,6,FALSE))</f>
        <v/>
      </c>
      <c r="N13" s="631" t="str">
        <f>IF(C13="","",VLOOKUP(C13,Surnatural!B:H,7,FALSE))</f>
        <v/>
      </c>
      <c r="O13" s="631"/>
      <c r="P13" s="631"/>
      <c r="Q13" s="179" t="str">
        <f>IF(C13="","",VLOOKUP(C13,Surnatural!B:I,8,FALSE))</f>
        <v/>
      </c>
      <c r="R13" s="580" t="str">
        <f>IF(C13="","",VLOOKUP(C13,Surnatural!B:J,9,FALSE))</f>
        <v/>
      </c>
      <c r="S13" s="580"/>
      <c r="T13" s="580"/>
      <c r="U13" s="580"/>
      <c r="V13" s="580"/>
      <c r="W13" s="580"/>
      <c r="X13" s="580"/>
      <c r="Y13" s="581"/>
    </row>
    <row r="14" spans="1:25" ht="5.25" customHeight="1" thickBot="1" x14ac:dyDescent="0.35"/>
    <row r="15" spans="1:25" ht="14.4" customHeight="1" thickBot="1" x14ac:dyDescent="0.35">
      <c r="B15" s="185" t="s">
        <v>1212</v>
      </c>
      <c r="C15" s="69"/>
      <c r="D15" s="570" t="s">
        <v>1213</v>
      </c>
      <c r="E15" s="571"/>
      <c r="F15" s="572" t="s">
        <v>1214</v>
      </c>
      <c r="G15" s="573"/>
      <c r="H15" s="314"/>
      <c r="I15" s="586"/>
      <c r="J15" s="587"/>
      <c r="K15" s="612" t="s">
        <v>1214</v>
      </c>
      <c r="L15" s="612"/>
      <c r="M15" s="589"/>
      <c r="N15" s="315"/>
      <c r="O15" s="586"/>
      <c r="P15" s="587"/>
      <c r="Q15" s="587"/>
      <c r="R15" s="612" t="s">
        <v>1214</v>
      </c>
      <c r="S15" s="589"/>
      <c r="T15" s="190"/>
      <c r="U15" s="191" t="s">
        <v>2551</v>
      </c>
      <c r="V15" s="192" t="str">
        <f>IF(OR('Perso Classic'!K31="Ki",'Perso Classic'!Q31="Ki"),'Perso Classic'!C31*déAme,"")</f>
        <v/>
      </c>
      <c r="X15" s="191" t="s">
        <v>2552</v>
      </c>
      <c r="Y15" s="54"/>
    </row>
    <row r="16" spans="1:25" ht="14.4" customHeight="1" thickBot="1" x14ac:dyDescent="0.35">
      <c r="B16" s="96" t="s">
        <v>1227</v>
      </c>
      <c r="D16" s="562" t="s">
        <v>4139</v>
      </c>
      <c r="E16" s="563"/>
      <c r="F16" s="567" t="s">
        <v>1215</v>
      </c>
      <c r="G16" s="568"/>
      <c r="I16" s="642" t="s">
        <v>963</v>
      </c>
      <c r="J16" s="643"/>
      <c r="K16" s="578" t="s">
        <v>1219</v>
      </c>
      <c r="L16" s="578"/>
      <c r="M16" s="579"/>
      <c r="N16" s="188"/>
      <c r="O16" s="562" t="s">
        <v>966</v>
      </c>
      <c r="P16" s="566"/>
      <c r="Q16" s="563"/>
      <c r="R16" s="567" t="s">
        <v>1224</v>
      </c>
      <c r="S16" s="568"/>
      <c r="T16" s="189"/>
      <c r="U16" s="79"/>
    </row>
    <row r="17" spans="2:25" ht="14.4" customHeight="1" x14ac:dyDescent="0.3">
      <c r="B17" s="96" t="s">
        <v>1229</v>
      </c>
      <c r="D17" s="562" t="s">
        <v>961</v>
      </c>
      <c r="E17" s="563"/>
      <c r="F17" s="567" t="s">
        <v>1216</v>
      </c>
      <c r="G17" s="568"/>
      <c r="I17" s="642" t="s">
        <v>964</v>
      </c>
      <c r="J17" s="643"/>
      <c r="K17" s="578" t="s">
        <v>1221</v>
      </c>
      <c r="L17" s="578"/>
      <c r="M17" s="579"/>
      <c r="N17" s="188"/>
      <c r="O17" s="562" t="s">
        <v>3881</v>
      </c>
      <c r="P17" s="566"/>
      <c r="Q17" s="563"/>
      <c r="R17" s="567" t="s">
        <v>4141</v>
      </c>
      <c r="S17" s="568"/>
      <c r="T17" s="189"/>
      <c r="U17" s="582" t="s">
        <v>2549</v>
      </c>
      <c r="V17" s="584"/>
      <c r="X17" s="582" t="s">
        <v>2553</v>
      </c>
      <c r="Y17" s="584"/>
    </row>
    <row r="18" spans="2:25" ht="14.4" customHeight="1" thickBot="1" x14ac:dyDescent="0.35">
      <c r="B18" s="124" t="s">
        <v>1368</v>
      </c>
      <c r="D18" s="562" t="s">
        <v>962</v>
      </c>
      <c r="E18" s="563"/>
      <c r="F18" s="567" t="s">
        <v>1217</v>
      </c>
      <c r="G18" s="568"/>
      <c r="I18" s="642" t="s">
        <v>1220</v>
      </c>
      <c r="J18" s="643"/>
      <c r="K18" s="578" t="s">
        <v>1222</v>
      </c>
      <c r="L18" s="578"/>
      <c r="M18" s="579"/>
      <c r="N18" s="188"/>
      <c r="O18" s="642" t="s">
        <v>967</v>
      </c>
      <c r="P18" s="643"/>
      <c r="Q18" s="643"/>
      <c r="R18" s="578" t="s">
        <v>1225</v>
      </c>
      <c r="S18" s="579"/>
      <c r="T18" s="189"/>
      <c r="U18" s="583"/>
      <c r="V18" s="585"/>
      <c r="X18" s="583"/>
      <c r="Y18" s="585"/>
    </row>
    <row r="19" spans="2:25" ht="14.4" customHeight="1" thickBot="1" x14ac:dyDescent="0.35">
      <c r="B19" s="97" t="s">
        <v>1228</v>
      </c>
      <c r="D19" s="564" t="s">
        <v>4140</v>
      </c>
      <c r="E19" s="565"/>
      <c r="F19" s="517" t="s">
        <v>1218</v>
      </c>
      <c r="G19" s="574"/>
      <c r="H19" s="316"/>
      <c r="I19" s="644" t="s">
        <v>965</v>
      </c>
      <c r="J19" s="645"/>
      <c r="K19" s="580" t="s">
        <v>1223</v>
      </c>
      <c r="L19" s="580"/>
      <c r="M19" s="581"/>
      <c r="N19" s="317"/>
      <c r="O19" s="644" t="s">
        <v>968</v>
      </c>
      <c r="P19" s="645"/>
      <c r="Q19" s="645"/>
      <c r="R19" s="580" t="s">
        <v>1226</v>
      </c>
      <c r="S19" s="581"/>
      <c r="T19" s="189"/>
      <c r="U19" s="189"/>
    </row>
    <row r="20" spans="2:25" ht="5.25" customHeight="1" thickBot="1" x14ac:dyDescent="0.35"/>
    <row r="21" spans="2:25" ht="17.399999999999999" x14ac:dyDescent="0.4">
      <c r="B21" s="604" t="s">
        <v>1235</v>
      </c>
      <c r="C21" s="605"/>
      <c r="D21" s="605"/>
      <c r="E21" s="605"/>
      <c r="F21" s="605"/>
      <c r="G21" s="605"/>
      <c r="H21" s="605"/>
      <c r="I21" s="605"/>
      <c r="J21" s="605"/>
      <c r="K21" s="605"/>
      <c r="L21" s="605"/>
      <c r="M21" s="605"/>
      <c r="N21" s="606"/>
      <c r="O21" s="73"/>
      <c r="P21" s="73"/>
      <c r="Q21" s="641" t="s">
        <v>1244</v>
      </c>
      <c r="R21" s="637"/>
      <c r="S21" s="637"/>
      <c r="T21" s="637"/>
      <c r="U21" s="637" t="s">
        <v>1921</v>
      </c>
      <c r="V21" s="638"/>
      <c r="W21" s="183"/>
      <c r="X21" s="183"/>
      <c r="Y21" s="183"/>
    </row>
    <row r="22" spans="2:25" ht="18.600000000000001" customHeight="1" x14ac:dyDescent="0.3">
      <c r="B22" s="104" t="s">
        <v>1230</v>
      </c>
      <c r="C22" s="84" t="s">
        <v>1243</v>
      </c>
      <c r="D22" s="616" t="s">
        <v>1231</v>
      </c>
      <c r="E22" s="616"/>
      <c r="F22" s="616"/>
      <c r="G22" s="616"/>
      <c r="H22" s="616"/>
      <c r="I22" s="616"/>
      <c r="J22" s="84" t="s">
        <v>1232</v>
      </c>
      <c r="K22" s="621" t="s">
        <v>1233</v>
      </c>
      <c r="L22" s="621"/>
      <c r="M22" s="622" t="s">
        <v>1234</v>
      </c>
      <c r="N22" s="623"/>
      <c r="O22" s="74"/>
      <c r="P22" s="74"/>
      <c r="Q22" s="98" t="s">
        <v>11</v>
      </c>
      <c r="R22" s="85" t="s">
        <v>1250</v>
      </c>
      <c r="S22" s="75" t="s">
        <v>15</v>
      </c>
      <c r="T22" s="85" t="s">
        <v>1245</v>
      </c>
      <c r="U22" s="91" t="s">
        <v>1252</v>
      </c>
      <c r="V22" s="99" t="s">
        <v>1247</v>
      </c>
      <c r="W22" s="89"/>
      <c r="X22" s="89"/>
      <c r="Y22" s="89"/>
    </row>
    <row r="23" spans="2:25" ht="15.6" customHeight="1" x14ac:dyDescent="0.3">
      <c r="B23" s="105" t="s">
        <v>1236</v>
      </c>
      <c r="C23" s="83"/>
      <c r="D23" s="578" t="s">
        <v>1240</v>
      </c>
      <c r="E23" s="578"/>
      <c r="F23" s="578"/>
      <c r="G23" s="578"/>
      <c r="H23" s="578"/>
      <c r="I23" s="578"/>
      <c r="J23" s="83">
        <v>1</v>
      </c>
      <c r="K23" s="626">
        <v>5</v>
      </c>
      <c r="L23" s="626"/>
      <c r="M23" s="500">
        <v>1</v>
      </c>
      <c r="N23" s="597"/>
      <c r="Q23" s="318" t="s">
        <v>21</v>
      </c>
      <c r="R23" s="85" t="s">
        <v>1251</v>
      </c>
      <c r="S23" s="75" t="s">
        <v>16</v>
      </c>
      <c r="T23" s="85" t="s">
        <v>1246</v>
      </c>
      <c r="U23" s="76" t="s">
        <v>45</v>
      </c>
      <c r="V23" s="99" t="s">
        <v>1251</v>
      </c>
      <c r="W23" s="89"/>
      <c r="X23" s="89"/>
      <c r="Y23" s="89"/>
    </row>
    <row r="24" spans="2:25" ht="15.6" customHeight="1" x14ac:dyDescent="0.3">
      <c r="B24" s="106" t="s">
        <v>1237</v>
      </c>
      <c r="C24" s="70"/>
      <c r="D24" s="607" t="s">
        <v>1241</v>
      </c>
      <c r="E24" s="607"/>
      <c r="F24" s="607"/>
      <c r="G24" s="607"/>
      <c r="H24" s="607"/>
      <c r="I24" s="607"/>
      <c r="J24" s="70">
        <v>2</v>
      </c>
      <c r="K24" s="634">
        <v>10</v>
      </c>
      <c r="L24" s="634"/>
      <c r="M24" s="598">
        <v>2</v>
      </c>
      <c r="N24" s="599"/>
      <c r="Q24" s="98" t="s">
        <v>12</v>
      </c>
      <c r="R24" s="85" t="s">
        <v>1251</v>
      </c>
      <c r="S24" s="75" t="s">
        <v>17</v>
      </c>
      <c r="T24" s="85" t="s">
        <v>1249</v>
      </c>
      <c r="U24" s="76" t="s">
        <v>62</v>
      </c>
      <c r="V24" s="99" t="s">
        <v>1248</v>
      </c>
      <c r="W24" s="89"/>
      <c r="X24" s="89"/>
      <c r="Y24" s="89"/>
    </row>
    <row r="25" spans="2:25" ht="15.6" customHeight="1" x14ac:dyDescent="0.3">
      <c r="B25" s="107" t="s">
        <v>1238</v>
      </c>
      <c r="C25" s="71"/>
      <c r="D25" s="608" t="s">
        <v>1242</v>
      </c>
      <c r="E25" s="608"/>
      <c r="F25" s="608"/>
      <c r="G25" s="608"/>
      <c r="H25" s="608"/>
      <c r="I25" s="608"/>
      <c r="J25" s="71">
        <v>3</v>
      </c>
      <c r="K25" s="635">
        <v>15</v>
      </c>
      <c r="L25" s="635"/>
      <c r="M25" s="600">
        <v>3</v>
      </c>
      <c r="N25" s="601"/>
      <c r="Q25" s="98" t="s">
        <v>13</v>
      </c>
      <c r="R25" s="85" t="s">
        <v>1251</v>
      </c>
      <c r="S25" s="75" t="s">
        <v>18</v>
      </c>
      <c r="T25" s="85" t="str">
        <f>IF(Type_Che="Fortiche","3D12","2D10")</f>
        <v>2D10</v>
      </c>
      <c r="U25" s="76" t="s">
        <v>361</v>
      </c>
      <c r="V25" s="99" t="str">
        <f>IF(Type_Che="Rapide","30","20")</f>
        <v>20</v>
      </c>
      <c r="W25" s="89"/>
      <c r="X25" s="89"/>
      <c r="Y25" s="89"/>
    </row>
    <row r="26" spans="2:25" ht="15.6" customHeight="1" x14ac:dyDescent="0.3">
      <c r="B26" s="214" t="s">
        <v>1239</v>
      </c>
      <c r="C26" s="215"/>
      <c r="D26" s="609" t="s">
        <v>2955</v>
      </c>
      <c r="E26" s="609"/>
      <c r="F26" s="609"/>
      <c r="G26" s="609"/>
      <c r="H26" s="609"/>
      <c r="I26" s="609"/>
      <c r="J26" s="215">
        <v>4</v>
      </c>
      <c r="K26" s="636">
        <v>20</v>
      </c>
      <c r="L26" s="636"/>
      <c r="M26" s="602">
        <v>4</v>
      </c>
      <c r="N26" s="603"/>
      <c r="Q26" s="98" t="s">
        <v>14</v>
      </c>
      <c r="R26" s="85" t="str">
        <f>IF(Type_Che="Courageux","2D8","1D4")</f>
        <v>1D4</v>
      </c>
      <c r="S26" s="75" t="s">
        <v>19</v>
      </c>
      <c r="T26" s="85" t="str">
        <f>IF(Type_Che="Résistant","2D12","2D10")</f>
        <v>2D10</v>
      </c>
      <c r="U26" s="83"/>
      <c r="V26" s="100"/>
      <c r="W26" s="65"/>
      <c r="X26" s="65"/>
      <c r="Y26" s="65"/>
    </row>
    <row r="27" spans="2:25" ht="15" thickBot="1" x14ac:dyDescent="0.35">
      <c r="B27" s="594" t="s">
        <v>2956</v>
      </c>
      <c r="C27" s="595"/>
      <c r="D27" s="595"/>
      <c r="E27" s="595"/>
      <c r="F27" s="595"/>
      <c r="G27" s="595"/>
      <c r="H27" s="595"/>
      <c r="I27" s="595"/>
      <c r="J27" s="595"/>
      <c r="K27" s="595"/>
      <c r="L27" s="595"/>
      <c r="M27" s="595"/>
      <c r="N27" s="596"/>
      <c r="O27" s="72"/>
      <c r="P27" s="72"/>
      <c r="Q27" s="101" t="s">
        <v>48</v>
      </c>
      <c r="R27" s="102" t="str">
        <f>IF(Type_Che="Courageux","4D4","2D4")</f>
        <v>2D4</v>
      </c>
      <c r="S27" s="103" t="s">
        <v>2</v>
      </c>
      <c r="T27" s="102">
        <v>10</v>
      </c>
      <c r="U27" s="632" t="str">
        <f>CONCATENATE(IF(Type_Che="Fidèle","Hargneux  envers  ceux  qu’il  ne  connaît  pas.",""))</f>
        <v/>
      </c>
      <c r="V27" s="633"/>
      <c r="W27" s="182"/>
      <c r="X27" s="182"/>
      <c r="Y27" s="182"/>
    </row>
    <row r="28" spans="2:25" ht="5.25" customHeight="1" thickBot="1" x14ac:dyDescent="0.35"/>
    <row r="29" spans="2:25" ht="14.4" customHeight="1" thickBot="1" x14ac:dyDescent="0.35">
      <c r="B29" s="610" t="s">
        <v>2957</v>
      </c>
      <c r="C29" s="617"/>
      <c r="D29" s="618"/>
      <c r="E29" s="588" t="s">
        <v>2244</v>
      </c>
      <c r="F29" s="589"/>
      <c r="G29" s="592"/>
      <c r="H29" s="170"/>
      <c r="I29" s="588" t="s">
        <v>2334</v>
      </c>
      <c r="J29" s="612"/>
      <c r="K29" s="624" t="s">
        <v>0</v>
      </c>
      <c r="L29" s="625"/>
      <c r="M29" s="625"/>
      <c r="N29" s="570" t="s">
        <v>2336</v>
      </c>
      <c r="O29" s="571"/>
      <c r="P29" s="571"/>
      <c r="Q29" s="571"/>
      <c r="R29" s="571"/>
      <c r="S29" s="571"/>
      <c r="T29" s="571"/>
      <c r="U29" s="571"/>
      <c r="V29" s="628"/>
      <c r="W29" s="624" t="s">
        <v>215</v>
      </c>
      <c r="X29" s="627"/>
      <c r="Y29" s="184"/>
    </row>
    <row r="30" spans="2:25" ht="24.75" customHeight="1" thickBot="1" x14ac:dyDescent="0.35">
      <c r="B30" s="611"/>
      <c r="C30" s="619"/>
      <c r="D30" s="620"/>
      <c r="E30" s="590"/>
      <c r="F30" s="591"/>
      <c r="G30" s="593"/>
      <c r="H30" s="170"/>
      <c r="I30" s="613"/>
      <c r="J30" s="614"/>
      <c r="K30" s="578"/>
      <c r="L30" s="578"/>
      <c r="M30" s="578"/>
      <c r="N30" s="578" t="str">
        <f>IF(K30="","",VLOOKUP(K30,Tableaux!BN:BP,2,FALSE))</f>
        <v/>
      </c>
      <c r="O30" s="578"/>
      <c r="P30" s="578"/>
      <c r="Q30" s="578"/>
      <c r="R30" s="578"/>
      <c r="S30" s="578"/>
      <c r="T30" s="578"/>
      <c r="U30" s="578"/>
      <c r="V30" s="578"/>
      <c r="W30" s="578" t="str">
        <f>IF(K30="","",VLOOKUP(K30,Tableaux!BN:BP,3,FALSE))</f>
        <v/>
      </c>
      <c r="X30" s="579"/>
      <c r="Y30" s="58"/>
    </row>
    <row r="31" spans="2:25" ht="24.75" customHeight="1" thickBot="1" x14ac:dyDescent="0.35">
      <c r="I31" s="590"/>
      <c r="J31" s="615"/>
      <c r="K31" s="580"/>
      <c r="L31" s="580"/>
      <c r="M31" s="580"/>
      <c r="N31" s="580" t="str">
        <f>IF(K31="","",VLOOKUP(K31,Tableaux!BN:BP,2,FALSE))</f>
        <v/>
      </c>
      <c r="O31" s="580"/>
      <c r="P31" s="580"/>
      <c r="Q31" s="580"/>
      <c r="R31" s="580"/>
      <c r="S31" s="580"/>
      <c r="T31" s="580"/>
      <c r="U31" s="580"/>
      <c r="V31" s="580"/>
      <c r="W31" s="580" t="str">
        <f>IF(K31="","",VLOOKUP(K31,Tableaux!BN:BP,3,FALSE))</f>
        <v/>
      </c>
      <c r="X31" s="581"/>
      <c r="Y31" s="58"/>
    </row>
    <row r="32" spans="2:25" ht="5.4" customHeight="1" x14ac:dyDescent="0.3"/>
    <row r="33" ht="15" customHeight="1" x14ac:dyDescent="0.3"/>
    <row r="34" ht="15" customHeight="1" x14ac:dyDescent="0.3"/>
    <row r="35" ht="15" customHeight="1" x14ac:dyDescent="0.3"/>
    <row r="36" ht="15" customHeight="1" x14ac:dyDescent="0.3"/>
    <row r="37" ht="15" customHeight="1" x14ac:dyDescent="0.3"/>
  </sheetData>
  <mergeCells count="125">
    <mergeCell ref="B2:Y2"/>
    <mergeCell ref="R3:Y3"/>
    <mergeCell ref="R4:Y4"/>
    <mergeCell ref="R5:Y5"/>
    <mergeCell ref="R6:Y6"/>
    <mergeCell ref="R7:Y7"/>
    <mergeCell ref="R8:Y8"/>
    <mergeCell ref="R9:Y9"/>
    <mergeCell ref="R10:Y10"/>
    <mergeCell ref="C7:E7"/>
    <mergeCell ref="N3:P3"/>
    <mergeCell ref="N4:P4"/>
    <mergeCell ref="N5:P5"/>
    <mergeCell ref="N6:P6"/>
    <mergeCell ref="N7:P7"/>
    <mergeCell ref="C8:E8"/>
    <mergeCell ref="C10:E10"/>
    <mergeCell ref="C3:E3"/>
    <mergeCell ref="C4:E4"/>
    <mergeCell ref="C5:E5"/>
    <mergeCell ref="C6:E6"/>
    <mergeCell ref="C9:E9"/>
    <mergeCell ref="K3:L3"/>
    <mergeCell ref="K4:L4"/>
    <mergeCell ref="H3:I3"/>
    <mergeCell ref="Q21:T21"/>
    <mergeCell ref="K19:M19"/>
    <mergeCell ref="H4:I4"/>
    <mergeCell ref="H5:I5"/>
    <mergeCell ref="H6:I6"/>
    <mergeCell ref="H7:I7"/>
    <mergeCell ref="H8:I8"/>
    <mergeCell ref="H9:I9"/>
    <mergeCell ref="H10:I10"/>
    <mergeCell ref="I15:J15"/>
    <mergeCell ref="I16:J16"/>
    <mergeCell ref="I17:J17"/>
    <mergeCell ref="I18:J18"/>
    <mergeCell ref="I19:J19"/>
    <mergeCell ref="H11:I11"/>
    <mergeCell ref="K11:L11"/>
    <mergeCell ref="N11:P11"/>
    <mergeCell ref="K15:M15"/>
    <mergeCell ref="K16:M16"/>
    <mergeCell ref="K17:M17"/>
    <mergeCell ref="O16:Q16"/>
    <mergeCell ref="O18:Q18"/>
    <mergeCell ref="O19:Q19"/>
    <mergeCell ref="R11:Y11"/>
    <mergeCell ref="U27:V27"/>
    <mergeCell ref="K24:L24"/>
    <mergeCell ref="K25:L25"/>
    <mergeCell ref="K26:L26"/>
    <mergeCell ref="K5:L5"/>
    <mergeCell ref="K6:L6"/>
    <mergeCell ref="K7:L7"/>
    <mergeCell ref="K8:L8"/>
    <mergeCell ref="K9:L9"/>
    <mergeCell ref="K10:L10"/>
    <mergeCell ref="U21:V21"/>
    <mergeCell ref="R15:S15"/>
    <mergeCell ref="R16:S16"/>
    <mergeCell ref="R18:S18"/>
    <mergeCell ref="R19:S19"/>
    <mergeCell ref="U17:U18"/>
    <mergeCell ref="V17:V18"/>
    <mergeCell ref="W30:X30"/>
    <mergeCell ref="W31:X31"/>
    <mergeCell ref="K23:L23"/>
    <mergeCell ref="W29:X29"/>
    <mergeCell ref="N29:V29"/>
    <mergeCell ref="N30:V30"/>
    <mergeCell ref="N31:V31"/>
    <mergeCell ref="H12:I12"/>
    <mergeCell ref="H13:I13"/>
    <mergeCell ref="N13:P13"/>
    <mergeCell ref="K12:L12"/>
    <mergeCell ref="K18:M18"/>
    <mergeCell ref="K13:L13"/>
    <mergeCell ref="E29:F30"/>
    <mergeCell ref="G29:G30"/>
    <mergeCell ref="B27:N27"/>
    <mergeCell ref="M23:N23"/>
    <mergeCell ref="M24:N24"/>
    <mergeCell ref="M25:N25"/>
    <mergeCell ref="M26:N26"/>
    <mergeCell ref="B21:N21"/>
    <mergeCell ref="D23:I23"/>
    <mergeCell ref="D24:I24"/>
    <mergeCell ref="D25:I25"/>
    <mergeCell ref="D26:I26"/>
    <mergeCell ref="K30:M30"/>
    <mergeCell ref="B29:B30"/>
    <mergeCell ref="I29:J31"/>
    <mergeCell ref="D22:I22"/>
    <mergeCell ref="C29:D29"/>
    <mergeCell ref="C30:D30"/>
    <mergeCell ref="K22:L22"/>
    <mergeCell ref="M22:N22"/>
    <mergeCell ref="K29:M29"/>
    <mergeCell ref="K31:M31"/>
    <mergeCell ref="D16:E16"/>
    <mergeCell ref="D17:E17"/>
    <mergeCell ref="D18:E18"/>
    <mergeCell ref="D19:E19"/>
    <mergeCell ref="O17:Q17"/>
    <mergeCell ref="R17:S17"/>
    <mergeCell ref="N8:P8"/>
    <mergeCell ref="N9:P9"/>
    <mergeCell ref="N10:P10"/>
    <mergeCell ref="N12:P12"/>
    <mergeCell ref="D15:E15"/>
    <mergeCell ref="F15:G15"/>
    <mergeCell ref="F16:G16"/>
    <mergeCell ref="F17:G17"/>
    <mergeCell ref="F18:G18"/>
    <mergeCell ref="F19:G19"/>
    <mergeCell ref="C11:E11"/>
    <mergeCell ref="C12:E12"/>
    <mergeCell ref="C13:E13"/>
    <mergeCell ref="R12:Y12"/>
    <mergeCell ref="R13:Y13"/>
    <mergeCell ref="X17:X18"/>
    <mergeCell ref="Y17:Y18"/>
    <mergeCell ref="O15:Q15"/>
  </mergeCells>
  <dataValidations count="6">
    <dataValidation type="list" allowBlank="1" showInputMessage="1" showErrorMessage="1" sqref="U21:Y21" xr:uid="{00000000-0002-0000-0200-000000000000}">
      <formula1>Typ_Che</formula1>
    </dataValidation>
    <dataValidation type="list" allowBlank="1" showInputMessage="1" showErrorMessage="1" sqref="C29:C30" xr:uid="{00000000-0002-0000-0200-000001000000}">
      <formula1>Démence</formula1>
    </dataValidation>
    <dataValidation type="list" allowBlank="1" showInputMessage="1" showErrorMessage="1" sqref="G29:H30" xr:uid="{00000000-0002-0000-0200-000002000000}">
      <formula1>Don_ciel</formula1>
    </dataValidation>
    <dataValidation type="list" allowBlank="1" showInputMessage="1" showErrorMessage="1" sqref="K30:M31" xr:uid="{00000000-0002-0000-0200-000003000000}">
      <formula1>Reliques</formula1>
    </dataValidation>
    <dataValidation type="list" allowBlank="1" showInputMessage="1" showErrorMessage="1" sqref="B4:B13" xr:uid="{00000000-0002-0000-0200-000004000000}">
      <formula1>Typ_pou</formula1>
    </dataValidation>
    <dataValidation type="list" allowBlank="1" showInputMessage="1" showErrorMessage="1" sqref="D4:E5 C4:C13" xr:uid="{00000000-0002-0000-0200-000005000000}">
      <formula1>IF(A4=1,Sorts,IF(A4=2,Pouvoir_Ki,IF(A4=3,Miracles,IF(A4=5,S_vaudou,IF(A4=6,Rituels,IF(A4=7,Don_Div,IF(A4=8,Faveur,IF(A4=9,PouvoirdeDétérré,IF(A4=10,S_Tech,"")))))))))</formula1>
    </dataValidation>
  </dataValidations>
  <pageMargins left="0.23622047244094488" right="0.23622047244094488" top="0.3543307086614173" bottom="0.3543307086614173"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dimension ref="A1:AE48"/>
  <sheetViews>
    <sheetView topLeftCell="A16" zoomScale="115" zoomScaleNormal="115" workbookViewId="0">
      <selection activeCell="B21" sqref="B21"/>
    </sheetView>
  </sheetViews>
  <sheetFormatPr baseColWidth="10" defaultRowHeight="14.4" x14ac:dyDescent="0.3"/>
  <cols>
    <col min="1" max="1" width="0.5546875" customWidth="1"/>
    <col min="2" max="2" width="12.5546875" customWidth="1"/>
    <col min="3" max="4" width="2.5546875" customWidth="1"/>
    <col min="5" max="5" width="3.88671875" customWidth="1"/>
    <col min="6" max="6" width="7.33203125" customWidth="1"/>
    <col min="7" max="10" width="2.109375" customWidth="1"/>
    <col min="11" max="11" width="2" customWidth="1"/>
    <col min="12" max="12" width="12.88671875" customWidth="1"/>
    <col min="13" max="13" width="7.44140625" customWidth="1"/>
    <col min="14" max="20" width="2.5546875" customWidth="1"/>
    <col min="21" max="21" width="2.44140625" customWidth="1"/>
    <col min="22" max="22" width="2.88671875" customWidth="1"/>
    <col min="23" max="23" width="10" customWidth="1"/>
    <col min="24" max="24" width="1.109375" customWidth="1"/>
    <col min="25" max="25" width="0.44140625" customWidth="1"/>
    <col min="26" max="26" width="2.44140625" customWidth="1"/>
    <col min="27" max="27" width="1.5546875" customWidth="1"/>
    <col min="28" max="28" width="0.33203125" customWidth="1"/>
  </cols>
  <sheetData>
    <row r="1" spans="2:30" ht="4.5" customHeight="1" x14ac:dyDescent="0.3"/>
    <row r="2" spans="2:30" ht="31.2" customHeight="1" x14ac:dyDescent="0.3">
      <c r="B2" s="552"/>
      <c r="C2" s="552"/>
      <c r="D2" s="552"/>
      <c r="E2" s="552"/>
      <c r="F2" s="552"/>
      <c r="G2" s="552"/>
      <c r="H2" s="552"/>
      <c r="I2" s="552"/>
      <c r="J2" s="552"/>
      <c r="K2" s="552"/>
      <c r="L2" s="552"/>
      <c r="M2" s="552"/>
      <c r="N2" s="552"/>
      <c r="O2" s="552"/>
      <c r="P2" s="552"/>
      <c r="Q2" s="552"/>
      <c r="R2" s="552"/>
      <c r="S2" s="552"/>
      <c r="T2" s="552"/>
      <c r="U2" s="552"/>
      <c r="V2" s="552"/>
      <c r="W2" s="552"/>
      <c r="X2" s="552"/>
      <c r="Y2" s="552"/>
      <c r="Z2" s="552"/>
      <c r="AA2" s="552"/>
    </row>
    <row r="3" spans="2:30" ht="4.5" customHeight="1" thickBot="1" x14ac:dyDescent="0.35"/>
    <row r="4" spans="2:30" ht="14.4" customHeight="1" x14ac:dyDescent="0.3">
      <c r="B4" s="149" t="s">
        <v>1897</v>
      </c>
      <c r="C4" s="549"/>
      <c r="D4" s="483"/>
      <c r="E4" s="483"/>
      <c r="F4" s="768"/>
      <c r="G4" s="765" t="s">
        <v>3795</v>
      </c>
      <c r="H4" s="766"/>
      <c r="I4" s="767"/>
      <c r="J4" s="550"/>
      <c r="K4" s="769"/>
      <c r="L4" s="551"/>
      <c r="M4" s="307" t="s">
        <v>1873</v>
      </c>
      <c r="N4" s="483"/>
      <c r="O4" s="483"/>
      <c r="P4" s="483"/>
      <c r="Q4" s="483"/>
      <c r="R4" s="770" t="s">
        <v>1874</v>
      </c>
      <c r="S4" s="770"/>
      <c r="T4" s="770"/>
      <c r="U4" s="770"/>
      <c r="V4" s="770"/>
      <c r="W4" s="483"/>
      <c r="X4" s="483"/>
      <c r="Y4" s="483"/>
      <c r="Z4" s="483"/>
      <c r="AA4" s="484"/>
    </row>
    <row r="5" spans="2:30" ht="14.4" customHeight="1" x14ac:dyDescent="0.3">
      <c r="B5" s="150" t="s">
        <v>1872</v>
      </c>
      <c r="C5" s="760"/>
      <c r="D5" s="761"/>
      <c r="E5" s="761"/>
      <c r="F5" s="762"/>
      <c r="G5" s="129" t="s">
        <v>2</v>
      </c>
      <c r="H5" s="129"/>
      <c r="I5" s="129"/>
      <c r="J5" s="500"/>
      <c r="K5" s="745"/>
      <c r="L5" s="501"/>
      <c r="M5" s="130" t="s">
        <v>4</v>
      </c>
      <c r="N5" s="489"/>
      <c r="O5" s="489"/>
      <c r="P5" s="489"/>
      <c r="Q5" s="489"/>
      <c r="R5" s="751" t="s">
        <v>6</v>
      </c>
      <c r="S5" s="752"/>
      <c r="T5" s="752"/>
      <c r="U5" s="752"/>
      <c r="V5" s="753"/>
      <c r="W5" s="763"/>
      <c r="X5" s="763"/>
      <c r="Y5" s="763"/>
      <c r="Z5" s="763"/>
      <c r="AA5" s="764"/>
    </row>
    <row r="6" spans="2:30" x14ac:dyDescent="0.3">
      <c r="B6" s="128" t="s">
        <v>1</v>
      </c>
      <c r="C6" s="497"/>
      <c r="D6" s="498"/>
      <c r="E6" s="498"/>
      <c r="F6" s="499"/>
      <c r="G6" s="505" t="s">
        <v>3</v>
      </c>
      <c r="H6" s="506"/>
      <c r="I6" s="507"/>
      <c r="J6" s="746"/>
      <c r="K6" s="747"/>
      <c r="L6" s="280" t="s">
        <v>3914</v>
      </c>
      <c r="M6" s="129" t="s">
        <v>5</v>
      </c>
      <c r="N6" s="502"/>
      <c r="O6" s="503"/>
      <c r="P6" s="503"/>
      <c r="Q6" s="504"/>
      <c r="R6" s="748" t="s">
        <v>7</v>
      </c>
      <c r="S6" s="749"/>
      <c r="T6" s="749"/>
      <c r="U6" s="749"/>
      <c r="V6" s="750"/>
      <c r="W6" s="491"/>
      <c r="X6" s="491"/>
      <c r="Y6" s="491"/>
      <c r="Z6" s="491"/>
      <c r="AA6" s="492"/>
    </row>
    <row r="7" spans="2:30" x14ac:dyDescent="0.3">
      <c r="B7" s="128" t="s">
        <v>299</v>
      </c>
      <c r="C7" s="497"/>
      <c r="D7" s="498"/>
      <c r="E7" s="498"/>
      <c r="F7" s="499"/>
      <c r="G7" s="505" t="s">
        <v>356</v>
      </c>
      <c r="H7" s="506"/>
      <c r="I7" s="507"/>
      <c r="J7" s="500"/>
      <c r="K7" s="745"/>
      <c r="L7" s="501"/>
      <c r="M7" s="306" t="s">
        <v>1494</v>
      </c>
      <c r="N7" s="502"/>
      <c r="O7" s="503"/>
      <c r="P7" s="503"/>
      <c r="Q7" s="504"/>
      <c r="R7" s="751" t="s">
        <v>1177</v>
      </c>
      <c r="S7" s="752"/>
      <c r="T7" s="752"/>
      <c r="U7" s="752"/>
      <c r="V7" s="753"/>
      <c r="W7" s="491"/>
      <c r="X7" s="491"/>
      <c r="Y7" s="491"/>
      <c r="Z7" s="491"/>
      <c r="AA7" s="492"/>
      <c r="AD7" s="350"/>
    </row>
    <row r="8" spans="2:30" ht="23.25" customHeight="1" thickBot="1" x14ac:dyDescent="0.35">
      <c r="B8" s="155" t="s">
        <v>300</v>
      </c>
      <c r="C8" s="511"/>
      <c r="D8" s="512"/>
      <c r="E8" s="512"/>
      <c r="F8" s="513"/>
      <c r="G8" s="514" t="s">
        <v>929</v>
      </c>
      <c r="H8" s="515"/>
      <c r="I8" s="516"/>
      <c r="J8" s="517"/>
      <c r="K8" s="744"/>
      <c r="L8" s="518"/>
      <c r="M8" s="13" t="s">
        <v>1493</v>
      </c>
      <c r="N8" s="756"/>
      <c r="O8" s="757"/>
      <c r="P8" s="757"/>
      <c r="Q8" s="757"/>
      <c r="R8" s="757"/>
      <c r="S8" s="757"/>
      <c r="T8" s="757"/>
      <c r="U8" s="757"/>
      <c r="V8" s="757"/>
      <c r="W8" s="757"/>
      <c r="X8" s="757"/>
      <c r="Y8" s="757"/>
      <c r="Z8" s="757"/>
      <c r="AA8" s="758"/>
    </row>
    <row r="9" spans="2:30" ht="5.25" customHeight="1" thickBot="1" x14ac:dyDescent="0.35"/>
    <row r="10" spans="2:30" ht="12.75" customHeight="1" x14ac:dyDescent="0.4">
      <c r="B10" s="726" t="s">
        <v>3043</v>
      </c>
      <c r="C10" s="727"/>
      <c r="D10" s="727"/>
      <c r="E10" s="727"/>
      <c r="F10" s="727"/>
      <c r="G10" s="728"/>
      <c r="I10" s="738" t="s">
        <v>3044</v>
      </c>
      <c r="J10" s="739"/>
      <c r="K10" s="740"/>
      <c r="L10" s="740"/>
      <c r="M10" s="741"/>
      <c r="O10" s="665" t="s">
        <v>1234</v>
      </c>
      <c r="P10" s="666"/>
      <c r="Q10" s="666"/>
      <c r="R10" s="666"/>
      <c r="S10" s="667"/>
      <c r="T10" s="326"/>
      <c r="U10" s="326"/>
      <c r="V10" s="326"/>
      <c r="W10" s="665" t="s">
        <v>2957</v>
      </c>
      <c r="X10" s="666"/>
      <c r="Y10" s="666"/>
      <c r="Z10" s="666"/>
      <c r="AA10" s="667"/>
    </row>
    <row r="11" spans="2:30" ht="12.75" customHeight="1" x14ac:dyDescent="0.3">
      <c r="B11" s="267" t="s">
        <v>3065</v>
      </c>
      <c r="C11" s="268"/>
      <c r="D11" s="268"/>
      <c r="E11" s="268"/>
      <c r="F11" s="268" t="s">
        <v>22</v>
      </c>
      <c r="G11" s="269"/>
      <c r="I11" s="742" t="s">
        <v>1005</v>
      </c>
      <c r="J11" s="743"/>
      <c r="K11" s="743"/>
      <c r="M11" s="53" t="s">
        <v>3036</v>
      </c>
      <c r="O11" s="674" t="s">
        <v>3863</v>
      </c>
      <c r="P11" s="675"/>
      <c r="Q11" s="675"/>
      <c r="R11" s="626">
        <v>0</v>
      </c>
      <c r="S11" s="668"/>
      <c r="T11" s="58"/>
      <c r="U11" s="58"/>
      <c r="V11" s="58"/>
      <c r="W11" s="754"/>
      <c r="X11" s="426"/>
      <c r="Y11" s="426"/>
      <c r="Z11" s="426"/>
      <c r="AA11" s="755"/>
    </row>
    <row r="12" spans="2:30" ht="12.75" customHeight="1" thickBot="1" x14ac:dyDescent="0.35">
      <c r="B12" s="111" t="s">
        <v>3031</v>
      </c>
      <c r="D12" t="s">
        <v>3042</v>
      </c>
      <c r="G12" s="53"/>
      <c r="I12" s="729">
        <f>IF(Boiteux2=TRUE,2,IF(CalcAllure&lt;3,2,CalcAllure))</f>
        <v>6</v>
      </c>
      <c r="J12" s="552"/>
      <c r="K12" s="552"/>
      <c r="L12" t="s">
        <v>3037</v>
      </c>
      <c r="M12" s="53"/>
      <c r="O12" s="736" t="s">
        <v>3862</v>
      </c>
      <c r="P12" s="737"/>
      <c r="Q12" s="737"/>
      <c r="R12" s="669"/>
      <c r="S12" s="670"/>
      <c r="W12" s="754"/>
      <c r="X12" s="426"/>
      <c r="Y12" s="426"/>
      <c r="Z12" s="426"/>
      <c r="AA12" s="755"/>
    </row>
    <row r="13" spans="2:30" ht="12.75" customHeight="1" thickBot="1" x14ac:dyDescent="0.35">
      <c r="B13" s="111" t="s">
        <v>3032</v>
      </c>
      <c r="D13" t="s">
        <v>3042</v>
      </c>
      <c r="G13" s="53"/>
      <c r="I13" s="729">
        <f>0+CalcCharisme</f>
        <v>0</v>
      </c>
      <c r="J13" s="552"/>
      <c r="K13" s="552"/>
      <c r="L13" t="s">
        <v>3038</v>
      </c>
      <c r="M13" s="53"/>
      <c r="W13" s="754"/>
      <c r="X13" s="426"/>
      <c r="Y13" s="426"/>
      <c r="Z13" s="426"/>
      <c r="AA13" s="755"/>
    </row>
    <row r="14" spans="2:30" ht="12.75" customHeight="1" thickBot="1" x14ac:dyDescent="0.35">
      <c r="B14" s="111" t="s">
        <v>3033</v>
      </c>
      <c r="D14" t="s">
        <v>3042</v>
      </c>
      <c r="G14" s="53"/>
      <c r="I14" s="729">
        <f>(2+déCombat/2)+CalcParade</f>
        <v>2</v>
      </c>
      <c r="J14" s="552"/>
      <c r="K14" s="552"/>
      <c r="L14" t="s">
        <v>3039</v>
      </c>
      <c r="M14" s="53"/>
      <c r="O14" s="734" t="s">
        <v>3156</v>
      </c>
      <c r="P14" s="735"/>
      <c r="Q14" s="735"/>
      <c r="R14" s="671" t="str">
        <f>IF(Primes&lt;20,"Novice",IF(Primes&lt;40,"Aguerri",IF(Primes&lt;60,"Vétéran",IF(Primes&lt;80,"Héroïque",IF(Primes&gt;79,"Légendaire","")))))</f>
        <v>Novice</v>
      </c>
      <c r="S14" s="672"/>
      <c r="T14" s="672"/>
      <c r="U14" s="673"/>
      <c r="V14" s="1"/>
      <c r="W14" s="759"/>
      <c r="X14" s="669"/>
      <c r="Y14" s="669"/>
      <c r="Z14" s="669"/>
      <c r="AA14" s="670"/>
    </row>
    <row r="15" spans="2:30" ht="12.75" customHeight="1" thickBot="1" x14ac:dyDescent="0.35">
      <c r="B15" s="111" t="s">
        <v>3034</v>
      </c>
      <c r="D15" t="s">
        <v>3042</v>
      </c>
      <c r="G15" s="53"/>
      <c r="I15" s="729">
        <f>(2+déVigueur/2)+CalcRésistance</f>
        <v>2</v>
      </c>
      <c r="J15" s="552"/>
      <c r="K15" s="552"/>
      <c r="L15" t="s">
        <v>3040</v>
      </c>
      <c r="M15" s="53"/>
    </row>
    <row r="16" spans="2:30" ht="12.75" customHeight="1" x14ac:dyDescent="0.4">
      <c r="B16" s="111" t="s">
        <v>3035</v>
      </c>
      <c r="D16" t="s">
        <v>3042</v>
      </c>
      <c r="G16" s="53"/>
      <c r="I16" s="729">
        <f>ROUNDDOWN(Primes/20,0)+1+CalcTrempe</f>
        <v>1</v>
      </c>
      <c r="J16" s="552"/>
      <c r="K16" s="552"/>
      <c r="L16" t="s">
        <v>3041</v>
      </c>
      <c r="M16" s="53"/>
      <c r="O16" s="684" t="s">
        <v>2335</v>
      </c>
      <c r="P16" s="685"/>
      <c r="Q16" s="685"/>
      <c r="R16" s="356" t="s">
        <v>4272</v>
      </c>
      <c r="S16" s="345" t="s">
        <v>4248</v>
      </c>
      <c r="T16" s="652" t="s">
        <v>4259</v>
      </c>
      <c r="U16" s="652"/>
      <c r="V16" s="652"/>
      <c r="W16" s="648" t="s">
        <v>4246</v>
      </c>
      <c r="X16" s="649"/>
    </row>
    <row r="17" spans="1:28" ht="17.25" customHeight="1" thickBot="1" x14ac:dyDescent="0.35">
      <c r="B17" s="112"/>
      <c r="C17" s="113"/>
      <c r="D17" s="113"/>
      <c r="E17" s="113"/>
      <c r="F17" s="113"/>
      <c r="G17" s="114"/>
      <c r="I17" s="730">
        <f>R17</f>
        <v>0</v>
      </c>
      <c r="J17" s="731"/>
      <c r="K17" s="731"/>
      <c r="L17" s="235" t="s">
        <v>3045</v>
      </c>
      <c r="M17" s="114"/>
      <c r="O17" s="686" t="str">
        <f>IF(chaman=TRUE,"Chaman",IF(AND(occulte=TRUE,mds=TRUE),"Magie du sang",IF(sciencefolle=TRUE,"Sc. Folle",IF(AND(croyant=TRUE,vaudou=TRUE),"Vaudou",IF(AND(croyant=TRUE,Anahuac=TRUE),"Anahuac",IF(AND(croyant=TRUE,Aztèque=TRUE),"Aztèque",IF(AND(croyant=TRUE,Anahuac=FALSE,vaudou=FALSE,Aztèque=FALSE),"Foi",IF(AND(occulte=TRUE,mds=FALSE),"Magie",IF(Illumination=TRUE,"Chi","")))))))))</f>
        <v/>
      </c>
      <c r="P17" s="650"/>
      <c r="Q17" s="650"/>
      <c r="R17" s="346">
        <f>IF($O$17="",0,VLOOKUP($O$17,Tableaux!$BX:$CB,2,FALSE))+Nb.PP.Sup</f>
        <v>0</v>
      </c>
      <c r="S17" s="346">
        <f>IF($O$17="",0,VLOOKUP($O$17,Tableaux!$BX:$CB,3,FALSE))+Nb.Pouvoir.sup</f>
        <v>0</v>
      </c>
      <c r="T17" s="653" t="str">
        <f>IF($O$17="","",IF(OR($O$17="Chaman",$O$17="Sc. Folle",$O$17="Chi",$O$17="Magie",$O$17="Magie du sang"),CONCATENATE(VLOOKUP($O$17,Tableaux!$BX:$CB,4,FALSE),IF(AND(source1=TRUE,source2=FALSE,source3=FALSE),"/30min",IF(AND(source2=TRUE,source3=FALSE),"/15min",IF(source3=TRUE,"/5min","/h"))))))</f>
        <v/>
      </c>
      <c r="U17" s="654"/>
      <c r="V17" s="655"/>
      <c r="W17" s="650" t="str">
        <f>IF($O$17="","",VLOOKUP($O$17,Tableaux!$BX:$CB,5,FALSE))</f>
        <v/>
      </c>
      <c r="X17" s="651"/>
    </row>
    <row r="18" spans="1:28" ht="5.25" customHeight="1" thickBot="1" x14ac:dyDescent="0.35"/>
    <row r="19" spans="1:28" ht="12.75" customHeight="1" x14ac:dyDescent="0.4">
      <c r="B19" s="726" t="s">
        <v>3064</v>
      </c>
      <c r="C19" s="727"/>
      <c r="D19" s="727"/>
      <c r="E19" s="727"/>
      <c r="F19" s="727"/>
      <c r="G19" s="727"/>
      <c r="H19" s="727"/>
      <c r="I19" s="728"/>
      <c r="J19" s="281"/>
      <c r="L19" s="665" t="s">
        <v>4114</v>
      </c>
      <c r="M19" s="666"/>
      <c r="N19" s="666"/>
      <c r="O19" s="666"/>
      <c r="P19" s="666"/>
      <c r="Q19" s="666"/>
      <c r="R19" s="666"/>
      <c r="S19" s="666"/>
      <c r="T19" s="666"/>
      <c r="U19" s="666"/>
      <c r="V19" s="666"/>
      <c r="W19" s="667"/>
      <c r="X19" s="301"/>
      <c r="Y19" s="301"/>
      <c r="Z19" s="301"/>
      <c r="AA19" s="301"/>
    </row>
    <row r="20" spans="1:28" ht="27" customHeight="1" thickBot="1" x14ac:dyDescent="0.45">
      <c r="B20" s="278" t="s">
        <v>0</v>
      </c>
      <c r="C20" s="725" t="s">
        <v>10</v>
      </c>
      <c r="D20" s="725"/>
      <c r="E20" s="725"/>
      <c r="F20" s="279" t="s">
        <v>3051</v>
      </c>
      <c r="G20" s="732" t="s">
        <v>8</v>
      </c>
      <c r="H20" s="733"/>
      <c r="I20" s="733"/>
      <c r="J20" s="282" t="s">
        <v>22</v>
      </c>
      <c r="L20" s="302" t="s">
        <v>0</v>
      </c>
      <c r="M20" s="303" t="s">
        <v>957</v>
      </c>
      <c r="N20" s="771" t="s">
        <v>951</v>
      </c>
      <c r="O20" s="771"/>
      <c r="P20" s="771" t="s">
        <v>3990</v>
      </c>
      <c r="Q20" s="771"/>
      <c r="R20" s="771" t="s">
        <v>2997</v>
      </c>
      <c r="S20" s="772"/>
      <c r="T20" s="772"/>
      <c r="U20" s="772"/>
      <c r="V20" s="772"/>
      <c r="W20" s="773"/>
      <c r="X20" s="301"/>
      <c r="Y20" s="301"/>
      <c r="Z20" s="301"/>
      <c r="AA20" s="301"/>
    </row>
    <row r="21" spans="1:28" ht="24.6" customHeight="1" x14ac:dyDescent="0.4">
      <c r="A21" s="138">
        <f>IF(B21="Combat",1,IF(B21="Conduite",2,IF(B21="Connaissances",3,IF(B21="Equitation",4,IF(B21="Jeux",5,IF(B21="Lancer",6,IF(B21="Langues",7,IF(B21="Perception",8,IF(B21="Pilotage",9,IF(B21="Soins",10,IF(B21="Survie",11,IF(B21="Tir",12,IF(B21="Réseaux",13,0)))))))))))))</f>
        <v>0</v>
      </c>
      <c r="B21" s="351"/>
      <c r="C21" s="706"/>
      <c r="D21" s="706"/>
      <c r="E21" s="706"/>
      <c r="F21" s="127" t="str">
        <f>IF(B21="","",VLOOKUP(B21,Tableaux!$BJ:$BK,2,FALSE))</f>
        <v/>
      </c>
      <c r="G21" s="334"/>
      <c r="H21" s="336" t="s">
        <v>3042</v>
      </c>
      <c r="I21" s="338"/>
      <c r="J21" s="100"/>
      <c r="L21" s="309"/>
      <c r="M21" s="304" t="str">
        <f>IF(L21="","",VLOOKUP(L21,'Pouvoir Reloaded'!$B:$P,5,FALSE))</f>
        <v/>
      </c>
      <c r="N21" s="676" t="str">
        <f>IF(L21="","",VLOOKUP(L21,'Pouvoir Reloaded'!$B:$P,6,FALSE))</f>
        <v/>
      </c>
      <c r="O21" s="677"/>
      <c r="P21" s="777" t="str">
        <f>IF(L21="","",VLOOKUP(L21,'Pouvoir Reloaded'!$B:$P,4,FALSE))</f>
        <v/>
      </c>
      <c r="Q21" s="778"/>
      <c r="R21" s="774" t="str">
        <f>IF(L21="","",VLOOKUP(L21,'Pouvoir Reloaded'!$B:$P,13,FALSE))</f>
        <v/>
      </c>
      <c r="S21" s="775"/>
      <c r="T21" s="775"/>
      <c r="U21" s="775"/>
      <c r="V21" s="775"/>
      <c r="W21" s="776"/>
      <c r="X21" s="301"/>
      <c r="Y21" s="692" t="s">
        <v>4162</v>
      </c>
      <c r="Z21" s="693"/>
      <c r="AA21" s="693"/>
      <c r="AB21" s="327"/>
    </row>
    <row r="22" spans="1:28" ht="24.6" customHeight="1" x14ac:dyDescent="0.4">
      <c r="A22" s="138">
        <f t="shared" ref="A22:A33" si="0">IF(B22="Combat",1,IF(B22="Conduite",2,IF(B22="Connaissances",3,IF(B22="Equitation",4,IF(B22="Jeux",5,IF(B22="Lancer",6,IF(B22="Langues",7,IF(B22="Perception",8,IF(B22="Pilotage",9,IF(B22="Soins",10,IF(B22="Survie",11,IF(B22="Tir",12,IF(B22="Réseaux",13,0)))))))))))))</f>
        <v>0</v>
      </c>
      <c r="B22" s="351"/>
      <c r="C22" s="706"/>
      <c r="D22" s="706"/>
      <c r="E22" s="706"/>
      <c r="F22" s="127" t="str">
        <f>IF(B22="","",VLOOKUP(B22,Tableaux!$BJ:$BK,2,FALSE))</f>
        <v/>
      </c>
      <c r="G22" s="334"/>
      <c r="H22" s="336" t="s">
        <v>3042</v>
      </c>
      <c r="I22" s="338"/>
      <c r="J22" s="100"/>
      <c r="L22" s="309"/>
      <c r="M22" s="304" t="str">
        <f>IF(L22="","",VLOOKUP(L22,'Pouvoir Reloaded'!$B:$P,5,FALSE))</f>
        <v/>
      </c>
      <c r="N22" s="676" t="str">
        <f>IF(L22="","",VLOOKUP(L22,'Pouvoir Reloaded'!$B:$P,6,FALSE))</f>
        <v/>
      </c>
      <c r="O22" s="677"/>
      <c r="P22" s="777" t="str">
        <f>IF(L22="","",VLOOKUP(L22,'Pouvoir Reloaded'!$B:$P,4,FALSE))</f>
        <v/>
      </c>
      <c r="Q22" s="778"/>
      <c r="R22" s="774" t="str">
        <f>IF(L22="","",VLOOKUP(L22,'Pouvoir Reloaded'!$B:$P,13,FALSE))</f>
        <v/>
      </c>
      <c r="S22" s="775"/>
      <c r="T22" s="775"/>
      <c r="U22" s="775"/>
      <c r="V22" s="775"/>
      <c r="W22" s="776"/>
      <c r="X22" s="301"/>
      <c r="Y22" s="663" t="s">
        <v>4163</v>
      </c>
      <c r="Z22" s="664"/>
      <c r="AA22" s="664"/>
      <c r="AB22" s="53"/>
    </row>
    <row r="23" spans="1:28" ht="24.6" customHeight="1" x14ac:dyDescent="0.4">
      <c r="A23" s="138">
        <f t="shared" si="0"/>
        <v>0</v>
      </c>
      <c r="B23" s="351"/>
      <c r="C23" s="706"/>
      <c r="D23" s="706"/>
      <c r="E23" s="706"/>
      <c r="F23" s="127" t="str">
        <f>IF(B23="","",VLOOKUP(B23,Tableaux!$BJ:$BK,2,FALSE))</f>
        <v/>
      </c>
      <c r="G23" s="334"/>
      <c r="H23" s="336" t="s">
        <v>3042</v>
      </c>
      <c r="I23" s="338"/>
      <c r="J23" s="100"/>
      <c r="L23" s="309"/>
      <c r="M23" s="304" t="str">
        <f>IF(L23="","",VLOOKUP(L23,'Pouvoir Reloaded'!$B:$P,5,FALSE))</f>
        <v/>
      </c>
      <c r="N23" s="676" t="str">
        <f>IF(L23="","",VLOOKUP(L23,'Pouvoir Reloaded'!$B:$P,6,FALSE))</f>
        <v/>
      </c>
      <c r="O23" s="677"/>
      <c r="P23" s="777" t="str">
        <f>IF(L23="","",VLOOKUP(L23,'Pouvoir Reloaded'!$B:$P,4,FALSE))</f>
        <v/>
      </c>
      <c r="Q23" s="778"/>
      <c r="R23" s="774" t="str">
        <f>IF(L23="","",VLOOKUP(L23,'Pouvoir Reloaded'!$B:$P,13,FALSE))</f>
        <v/>
      </c>
      <c r="S23" s="775"/>
      <c r="T23" s="775"/>
      <c r="U23" s="775"/>
      <c r="V23" s="775"/>
      <c r="W23" s="776"/>
      <c r="X23" s="301"/>
      <c r="Y23" s="663"/>
      <c r="Z23" s="664"/>
      <c r="AA23" s="664"/>
      <c r="AB23" s="53"/>
    </row>
    <row r="24" spans="1:28" ht="24.6" customHeight="1" x14ac:dyDescent="0.4">
      <c r="A24" s="138">
        <f t="shared" si="0"/>
        <v>0</v>
      </c>
      <c r="B24" s="351"/>
      <c r="C24" s="706"/>
      <c r="D24" s="706"/>
      <c r="E24" s="706"/>
      <c r="F24" s="127" t="str">
        <f>IF(B24="","",VLOOKUP(B24,Tableaux!$BJ:$BK,2,FALSE))</f>
        <v/>
      </c>
      <c r="G24" s="334"/>
      <c r="H24" s="336" t="s">
        <v>3042</v>
      </c>
      <c r="I24" s="338"/>
      <c r="J24" s="100"/>
      <c r="L24" s="309"/>
      <c r="M24" s="304" t="str">
        <f>IF(L24="","",VLOOKUP(L24,'Pouvoir Reloaded'!$B:$P,5,FALSE))</f>
        <v/>
      </c>
      <c r="N24" s="676" t="str">
        <f>IF(L24="","",VLOOKUP(L24,'Pouvoir Reloaded'!$B:$P,6,FALSE))</f>
        <v/>
      </c>
      <c r="O24" s="677"/>
      <c r="P24" s="777" t="str">
        <f>IF(L24="","",VLOOKUP(L24,'Pouvoir Reloaded'!$B:$P,4,FALSE))</f>
        <v/>
      </c>
      <c r="Q24" s="778"/>
      <c r="R24" s="774" t="str">
        <f>IF(L24="","",VLOOKUP(L24,'Pouvoir Reloaded'!$B:$P,13,FALSE))</f>
        <v/>
      </c>
      <c r="S24" s="775"/>
      <c r="T24" s="775"/>
      <c r="U24" s="775"/>
      <c r="V24" s="775"/>
      <c r="W24" s="776"/>
      <c r="X24" s="301"/>
      <c r="Y24" s="660">
        <v>-1</v>
      </c>
      <c r="Z24" s="661"/>
      <c r="AA24" s="661"/>
      <c r="AB24" s="662"/>
    </row>
    <row r="25" spans="1:28" ht="24.6" customHeight="1" x14ac:dyDescent="0.4">
      <c r="A25" s="138">
        <f t="shared" si="0"/>
        <v>0</v>
      </c>
      <c r="B25" s="351"/>
      <c r="C25" s="706"/>
      <c r="D25" s="706"/>
      <c r="E25" s="706"/>
      <c r="F25" s="127" t="str">
        <f>IF(B25="","",VLOOKUP(B25,Tableaux!$BJ:$BK,2,FALSE))</f>
        <v/>
      </c>
      <c r="G25" s="334"/>
      <c r="H25" s="336" t="s">
        <v>3042</v>
      </c>
      <c r="I25" s="338"/>
      <c r="J25" s="100"/>
      <c r="L25" s="309"/>
      <c r="M25" s="304" t="str">
        <f>IF(L25="","",VLOOKUP(L25,'Pouvoir Reloaded'!$B:$P,5,FALSE))</f>
        <v/>
      </c>
      <c r="N25" s="676" t="str">
        <f>IF(L25="","",VLOOKUP(L25,'Pouvoir Reloaded'!$B:$P,6,FALSE))</f>
        <v/>
      </c>
      <c r="O25" s="677"/>
      <c r="P25" s="777" t="str">
        <f>IF(L25="","",VLOOKUP(L25,'Pouvoir Reloaded'!$B:$P,4,FALSE))</f>
        <v/>
      </c>
      <c r="Q25" s="778"/>
      <c r="R25" s="774" t="str">
        <f>IF(L25="","",VLOOKUP(L25,'Pouvoir Reloaded'!$B:$P,13,FALSE))</f>
        <v/>
      </c>
      <c r="S25" s="775"/>
      <c r="T25" s="775"/>
      <c r="U25" s="775"/>
      <c r="V25" s="775"/>
      <c r="W25" s="776"/>
      <c r="X25" s="301"/>
      <c r="Y25" s="660">
        <v>-2</v>
      </c>
      <c r="Z25" s="661"/>
      <c r="AA25" s="661"/>
      <c r="AB25" s="662"/>
    </row>
    <row r="26" spans="1:28" ht="24.6" customHeight="1" x14ac:dyDescent="0.4">
      <c r="A26" s="138">
        <f t="shared" si="0"/>
        <v>0</v>
      </c>
      <c r="B26" s="351"/>
      <c r="C26" s="706"/>
      <c r="D26" s="706"/>
      <c r="E26" s="706"/>
      <c r="F26" s="127" t="str">
        <f>IF(B26="","",VLOOKUP(B26,Tableaux!$BJ:$BK,2,FALSE))</f>
        <v/>
      </c>
      <c r="G26" s="334"/>
      <c r="H26" s="336" t="s">
        <v>3042</v>
      </c>
      <c r="I26" s="338"/>
      <c r="J26" s="100"/>
      <c r="L26" s="309"/>
      <c r="M26" s="304" t="str">
        <f>IF(L26="","",VLOOKUP(L26,'Pouvoir Reloaded'!$B:$P,5,FALSE))</f>
        <v/>
      </c>
      <c r="N26" s="676" t="str">
        <f>IF(L26="","",VLOOKUP(L26,'Pouvoir Reloaded'!$B:$P,6,FALSE))</f>
        <v/>
      </c>
      <c r="O26" s="677"/>
      <c r="P26" s="777" t="str">
        <f>IF(L26="","",VLOOKUP(L26,'Pouvoir Reloaded'!$B:$P,4,FALSE))</f>
        <v/>
      </c>
      <c r="Q26" s="778"/>
      <c r="R26" s="774" t="str">
        <f>IF(L26="","",VLOOKUP(L26,'Pouvoir Reloaded'!$B:$P,13,FALSE))</f>
        <v/>
      </c>
      <c r="S26" s="775"/>
      <c r="T26" s="775"/>
      <c r="U26" s="775"/>
      <c r="V26" s="775"/>
      <c r="W26" s="776"/>
      <c r="X26" s="301"/>
      <c r="Y26" s="660">
        <v>-3</v>
      </c>
      <c r="Z26" s="661"/>
      <c r="AA26" s="661"/>
      <c r="AB26" s="662"/>
    </row>
    <row r="27" spans="1:28" ht="24.6" customHeight="1" x14ac:dyDescent="0.4">
      <c r="A27" s="138">
        <f t="shared" si="0"/>
        <v>0</v>
      </c>
      <c r="B27" s="351"/>
      <c r="C27" s="706"/>
      <c r="D27" s="706"/>
      <c r="E27" s="706"/>
      <c r="F27" s="127" t="str">
        <f>IF(B27="","",VLOOKUP(B27,Tableaux!$BJ:$BK,2,FALSE))</f>
        <v/>
      </c>
      <c r="G27" s="334"/>
      <c r="H27" s="336" t="s">
        <v>3042</v>
      </c>
      <c r="I27" s="338"/>
      <c r="J27" s="100"/>
      <c r="L27" s="309"/>
      <c r="M27" s="304" t="str">
        <f>IF(L27="","",VLOOKUP(L27,'Pouvoir Reloaded'!$B:$P,5,FALSE))</f>
        <v/>
      </c>
      <c r="N27" s="676" t="str">
        <f>IF(L27="","",VLOOKUP(L27,'Pouvoir Reloaded'!$B:$P,6,FALSE))</f>
        <v/>
      </c>
      <c r="O27" s="677"/>
      <c r="P27" s="777" t="str">
        <f>IF(L27="","",VLOOKUP(L27,'Pouvoir Reloaded'!$B:$P,4,FALSE))</f>
        <v/>
      </c>
      <c r="Q27" s="778"/>
      <c r="R27" s="774" t="str">
        <f>IF(L27="","",VLOOKUP(L27,'Pouvoir Reloaded'!$B:$P,13,FALSE))</f>
        <v/>
      </c>
      <c r="S27" s="775"/>
      <c r="T27" s="775"/>
      <c r="U27" s="775"/>
      <c r="V27" s="775"/>
      <c r="W27" s="776"/>
      <c r="X27" s="301"/>
      <c r="Y27" s="663" t="s">
        <v>4165</v>
      </c>
      <c r="Z27" s="664"/>
      <c r="AA27" s="664"/>
      <c r="AB27" s="53"/>
    </row>
    <row r="28" spans="1:28" ht="24.6" customHeight="1" x14ac:dyDescent="0.4">
      <c r="A28" s="138">
        <f t="shared" si="0"/>
        <v>0</v>
      </c>
      <c r="B28" s="351"/>
      <c r="C28" s="706"/>
      <c r="D28" s="706"/>
      <c r="E28" s="706"/>
      <c r="F28" s="127" t="str">
        <f>IF(B28="","",VLOOKUP(B28,Tableaux!$BJ:$BK,2,FALSE))</f>
        <v/>
      </c>
      <c r="G28" s="334"/>
      <c r="H28" s="336" t="s">
        <v>3042</v>
      </c>
      <c r="I28" s="338"/>
      <c r="J28" s="100"/>
      <c r="L28" s="309"/>
      <c r="M28" s="304" t="str">
        <f>IF(L28="","",VLOOKUP(L28,'Pouvoir Reloaded'!$B:$P,5,FALSE))</f>
        <v/>
      </c>
      <c r="N28" s="676" t="str">
        <f>IF(L28="","",VLOOKUP(L28,'Pouvoir Reloaded'!$B:$P,6,FALSE))</f>
        <v/>
      </c>
      <c r="O28" s="677"/>
      <c r="P28" s="777" t="str">
        <f>IF(L28="","",VLOOKUP(L28,'Pouvoir Reloaded'!$B:$P,4,FALSE))</f>
        <v/>
      </c>
      <c r="Q28" s="778"/>
      <c r="R28" s="774" t="str">
        <f>IF(L28="","",VLOOKUP(L28,'Pouvoir Reloaded'!$B:$P,13,FALSE))</f>
        <v/>
      </c>
      <c r="S28" s="775"/>
      <c r="T28" s="775"/>
      <c r="U28" s="775"/>
      <c r="V28" s="775"/>
      <c r="W28" s="776"/>
      <c r="X28" s="301"/>
      <c r="Y28" s="663"/>
      <c r="Z28" s="664"/>
      <c r="AA28" s="664"/>
      <c r="AB28" s="53"/>
    </row>
    <row r="29" spans="1:28" ht="24.6" customHeight="1" x14ac:dyDescent="0.4">
      <c r="A29" s="138">
        <f t="shared" si="0"/>
        <v>0</v>
      </c>
      <c r="B29" s="351"/>
      <c r="C29" s="706"/>
      <c r="D29" s="706"/>
      <c r="E29" s="706"/>
      <c r="F29" s="127" t="str">
        <f>IF(B29="","",VLOOKUP(B29,Tableaux!$BJ:$BK,2,FALSE))</f>
        <v/>
      </c>
      <c r="G29" s="334"/>
      <c r="H29" s="336" t="s">
        <v>3042</v>
      </c>
      <c r="I29" s="338"/>
      <c r="J29" s="100"/>
      <c r="L29" s="309"/>
      <c r="M29" s="304" t="str">
        <f>IF(L29="","",VLOOKUP(L29,'Pouvoir Reloaded'!$B:$P,5,FALSE))</f>
        <v/>
      </c>
      <c r="N29" s="676" t="str">
        <f>IF(L29="","",VLOOKUP(L29,'Pouvoir Reloaded'!$B:$P,6,FALSE))</f>
        <v/>
      </c>
      <c r="O29" s="677"/>
      <c r="P29" s="777" t="str">
        <f>IF(L29="","",VLOOKUP(L29,'Pouvoir Reloaded'!$B:$P,4,FALSE))</f>
        <v/>
      </c>
      <c r="Q29" s="778"/>
      <c r="R29" s="774" t="str">
        <f>IF(L29="","",VLOOKUP(L29,'Pouvoir Reloaded'!$B:$P,13,FALSE))</f>
        <v/>
      </c>
      <c r="S29" s="775"/>
      <c r="T29" s="775"/>
      <c r="U29" s="775"/>
      <c r="V29" s="775"/>
      <c r="W29" s="776"/>
      <c r="X29" s="301"/>
      <c r="Y29" s="663"/>
      <c r="Z29" s="664"/>
      <c r="AA29" s="664"/>
      <c r="AB29" s="53"/>
    </row>
    <row r="30" spans="1:28" ht="24.6" customHeight="1" x14ac:dyDescent="0.4">
      <c r="A30" s="138">
        <f t="shared" si="0"/>
        <v>0</v>
      </c>
      <c r="B30" s="351"/>
      <c r="C30" s="706"/>
      <c r="D30" s="706"/>
      <c r="E30" s="706"/>
      <c r="F30" s="127" t="str">
        <f>IF(B30="","",VLOOKUP(B30,Tableaux!$BJ:$BK,2,FALSE))</f>
        <v/>
      </c>
      <c r="G30" s="334"/>
      <c r="H30" s="336" t="s">
        <v>3042</v>
      </c>
      <c r="I30" s="338"/>
      <c r="J30" s="100"/>
      <c r="L30" s="309"/>
      <c r="M30" s="304" t="str">
        <f>IF(L30="","",VLOOKUP(L30,'Pouvoir Reloaded'!$B:$P,5,FALSE))</f>
        <v/>
      </c>
      <c r="N30" s="676" t="str">
        <f>IF(L30="","",VLOOKUP(L30,'Pouvoir Reloaded'!$B:$P,6,FALSE))</f>
        <v/>
      </c>
      <c r="O30" s="677"/>
      <c r="P30" s="777" t="str">
        <f>IF(L30="","",VLOOKUP(L30,'Pouvoir Reloaded'!$B:$P,4,FALSE))</f>
        <v/>
      </c>
      <c r="Q30" s="778"/>
      <c r="R30" s="774" t="str">
        <f>IF(L30="","",VLOOKUP(L30,'Pouvoir Reloaded'!$B:$P,13,FALSE))</f>
        <v/>
      </c>
      <c r="S30" s="775"/>
      <c r="T30" s="775"/>
      <c r="U30" s="775"/>
      <c r="V30" s="775"/>
      <c r="W30" s="776"/>
      <c r="X30" s="301"/>
      <c r="Y30" s="660">
        <v>-2</v>
      </c>
      <c r="Z30" s="661"/>
      <c r="AA30" s="661"/>
      <c r="AB30" s="328"/>
    </row>
    <row r="31" spans="1:28" ht="24.6" customHeight="1" x14ac:dyDescent="0.4">
      <c r="A31" s="138">
        <f t="shared" si="0"/>
        <v>0</v>
      </c>
      <c r="B31" s="351"/>
      <c r="C31" s="706"/>
      <c r="D31" s="706"/>
      <c r="E31" s="706"/>
      <c r="F31" s="127" t="str">
        <f>IF(B31="","",VLOOKUP(B31,Tableaux!$BJ:$BK,2,FALSE))</f>
        <v/>
      </c>
      <c r="G31" s="334"/>
      <c r="H31" s="336" t="s">
        <v>3042</v>
      </c>
      <c r="I31" s="338"/>
      <c r="J31" s="100"/>
      <c r="L31" s="309"/>
      <c r="M31" s="304" t="str">
        <f>IF(L31="","",VLOOKUP(L31,'Pouvoir Reloaded'!$B:$P,5,FALSE))</f>
        <v/>
      </c>
      <c r="N31" s="676" t="str">
        <f>IF(L31="","",VLOOKUP(L31,'Pouvoir Reloaded'!$B:$P,6,FALSE))</f>
        <v/>
      </c>
      <c r="O31" s="677"/>
      <c r="P31" s="777" t="str">
        <f>IF(L31="","",VLOOKUP(L31,'Pouvoir Reloaded'!$B:$P,4,FALSE))</f>
        <v/>
      </c>
      <c r="Q31" s="778"/>
      <c r="R31" s="774" t="str">
        <f>IF(L31="","",VLOOKUP(L31,'Pouvoir Reloaded'!$B:$P,13,FALSE))</f>
        <v/>
      </c>
      <c r="S31" s="775"/>
      <c r="T31" s="775"/>
      <c r="U31" s="775"/>
      <c r="V31" s="775"/>
      <c r="W31" s="776"/>
      <c r="X31" s="301"/>
      <c r="Y31" s="660">
        <v>-1</v>
      </c>
      <c r="Z31" s="661"/>
      <c r="AA31" s="661"/>
      <c r="AB31" s="662"/>
    </row>
    <row r="32" spans="1:28" ht="24.6" customHeight="1" thickBot="1" x14ac:dyDescent="0.45">
      <c r="A32" s="138">
        <f t="shared" si="0"/>
        <v>0</v>
      </c>
      <c r="B32" s="351"/>
      <c r="C32" s="706"/>
      <c r="D32" s="706"/>
      <c r="E32" s="706"/>
      <c r="F32" s="127" t="str">
        <f>IF(B32="","",VLOOKUP(B32,Tableaux!$BJ:$BK,2,FALSE))</f>
        <v/>
      </c>
      <c r="G32" s="334"/>
      <c r="H32" s="336" t="s">
        <v>3042</v>
      </c>
      <c r="I32" s="338"/>
      <c r="J32" s="100"/>
      <c r="L32" s="309"/>
      <c r="M32" s="304" t="str">
        <f>IF(L32="","",VLOOKUP(L32,'Pouvoir Reloaded'!$B:$P,5,FALSE))</f>
        <v/>
      </c>
      <c r="N32" s="676" t="str">
        <f>IF(L32="","",VLOOKUP(L32,'Pouvoir Reloaded'!$B:$P,6,FALSE))</f>
        <v/>
      </c>
      <c r="O32" s="677"/>
      <c r="P32" s="777" t="str">
        <f>IF(L32="","",VLOOKUP(L32,'Pouvoir Reloaded'!$B:$P,4,FALSE))</f>
        <v/>
      </c>
      <c r="Q32" s="778"/>
      <c r="R32" s="774" t="str">
        <f>IF(L32="","",VLOOKUP(L32,'Pouvoir Reloaded'!$B:$P,13,FALSE))</f>
        <v/>
      </c>
      <c r="S32" s="775"/>
      <c r="T32" s="775"/>
      <c r="U32" s="775"/>
      <c r="V32" s="775"/>
      <c r="W32" s="776"/>
      <c r="X32" s="301"/>
      <c r="Y32" s="786" t="s">
        <v>4164</v>
      </c>
      <c r="Z32" s="787"/>
      <c r="AA32" s="787"/>
      <c r="AB32" s="788"/>
    </row>
    <row r="33" spans="1:31" ht="24.6" customHeight="1" thickBot="1" x14ac:dyDescent="0.45">
      <c r="A33" s="138">
        <f t="shared" si="0"/>
        <v>0</v>
      </c>
      <c r="B33" s="352"/>
      <c r="C33" s="724"/>
      <c r="D33" s="724"/>
      <c r="E33" s="724"/>
      <c r="F33" s="353" t="str">
        <f>IF(B33="","",VLOOKUP(B33,Tableaux!$BJ:$BK,2,FALSE))</f>
        <v/>
      </c>
      <c r="G33" s="335"/>
      <c r="H33" s="337" t="s">
        <v>3042</v>
      </c>
      <c r="I33" s="404"/>
      <c r="J33" s="403"/>
      <c r="L33" s="310"/>
      <c r="M33" s="305" t="str">
        <f>IF(L33="","",VLOOKUP(L33,'Pouvoir Reloaded'!$B:$P,5,FALSE))</f>
        <v/>
      </c>
      <c r="N33" s="780" t="str">
        <f>IF(L33="","",VLOOKUP(L33,'Pouvoir Reloaded'!$B:$P,6,FALSE))</f>
        <v/>
      </c>
      <c r="O33" s="781"/>
      <c r="P33" s="782" t="str">
        <f>IF(L33="","",VLOOKUP(L33,'Pouvoir Reloaded'!$B:$P,4,FALSE))</f>
        <v/>
      </c>
      <c r="Q33" s="783"/>
      <c r="R33" s="791" t="str">
        <f>IF(L33="","",VLOOKUP(L33,'Pouvoir Reloaded'!$B:$P,13,FALSE))</f>
        <v/>
      </c>
      <c r="S33" s="792"/>
      <c r="T33" s="792"/>
      <c r="U33" s="792"/>
      <c r="V33" s="792"/>
      <c r="W33" s="793"/>
      <c r="X33" s="301"/>
      <c r="Y33" s="301"/>
      <c r="Z33" s="687" t="s">
        <v>4156</v>
      </c>
      <c r="AA33" s="687"/>
    </row>
    <row r="34" spans="1:31" ht="3" customHeight="1" thickBot="1" x14ac:dyDescent="0.45">
      <c r="I34" s="338"/>
      <c r="L34" s="320" t="s">
        <v>4115</v>
      </c>
      <c r="M34" s="301"/>
      <c r="N34" s="301"/>
      <c r="O34" s="301"/>
      <c r="P34" s="301"/>
      <c r="Q34" s="301"/>
      <c r="R34" s="301"/>
      <c r="S34" s="301"/>
      <c r="T34" s="301"/>
      <c r="U34" s="301"/>
      <c r="V34" s="301"/>
      <c r="W34" s="301"/>
      <c r="X34" s="301"/>
      <c r="Y34" s="301"/>
      <c r="Z34" s="688"/>
      <c r="AA34" s="688"/>
    </row>
    <row r="35" spans="1:31" ht="15" customHeight="1" x14ac:dyDescent="0.3">
      <c r="B35" s="324" t="s">
        <v>4149</v>
      </c>
      <c r="C35" s="715" t="s">
        <v>4150</v>
      </c>
      <c r="D35" s="716"/>
      <c r="E35" s="716"/>
      <c r="F35" s="717"/>
      <c r="G35" s="707" t="s">
        <v>1555</v>
      </c>
      <c r="H35" s="708"/>
      <c r="I35" s="708"/>
      <c r="J35" s="709"/>
      <c r="K35" s="74"/>
      <c r="L35" s="323" t="s">
        <v>4155</v>
      </c>
      <c r="M35" s="789" t="s">
        <v>4158</v>
      </c>
      <c r="N35" s="789"/>
      <c r="O35" s="789"/>
      <c r="P35" s="789"/>
      <c r="Q35" s="789"/>
      <c r="R35" s="789"/>
      <c r="S35" s="789"/>
      <c r="T35" s="789"/>
      <c r="U35" s="789"/>
      <c r="V35" s="789"/>
      <c r="W35" s="789"/>
      <c r="X35" s="789"/>
      <c r="Y35" s="790"/>
      <c r="Z35" s="688"/>
      <c r="AA35" s="688"/>
      <c r="AB35" s="325"/>
    </row>
    <row r="36" spans="1:31" ht="15" customHeight="1" x14ac:dyDescent="0.3">
      <c r="B36" s="6"/>
      <c r="C36" s="426"/>
      <c r="D36" s="426"/>
      <c r="E36" s="426"/>
      <c r="F36" s="426"/>
      <c r="G36" s="710"/>
      <c r="H36" s="710"/>
      <c r="I36" s="710"/>
      <c r="J36" s="711"/>
      <c r="K36" s="58"/>
      <c r="L36" s="105" t="s">
        <v>4153</v>
      </c>
      <c r="M36" s="656" t="s">
        <v>4159</v>
      </c>
      <c r="N36" s="656"/>
      <c r="O36" s="656"/>
      <c r="P36" s="656"/>
      <c r="Q36" s="656"/>
      <c r="R36" s="656"/>
      <c r="S36" s="656"/>
      <c r="T36" s="656"/>
      <c r="U36" s="656"/>
      <c r="V36" s="656"/>
      <c r="W36" s="656"/>
      <c r="X36" s="656"/>
      <c r="Y36" s="657"/>
      <c r="Z36" s="688"/>
      <c r="AA36" s="688"/>
      <c r="AB36" s="325"/>
    </row>
    <row r="37" spans="1:31" ht="15" customHeight="1" x14ac:dyDescent="0.3">
      <c r="B37" s="6"/>
      <c r="C37" s="426"/>
      <c r="D37" s="426"/>
      <c r="E37" s="426"/>
      <c r="F37" s="426"/>
      <c r="G37" s="710" t="str">
        <f>IF(B37="","",VLOOKUP(B37,Tableaux!CC:CE,2,FALSE))</f>
        <v/>
      </c>
      <c r="H37" s="710"/>
      <c r="I37" s="710"/>
      <c r="J37" s="711"/>
      <c r="K37" s="58"/>
      <c r="L37" s="106" t="s">
        <v>1237</v>
      </c>
      <c r="M37" s="658" t="s">
        <v>4160</v>
      </c>
      <c r="N37" s="658"/>
      <c r="O37" s="658"/>
      <c r="P37" s="658"/>
      <c r="Q37" s="658"/>
      <c r="R37" s="658"/>
      <c r="S37" s="658"/>
      <c r="T37" s="658"/>
      <c r="U37" s="658"/>
      <c r="V37" s="658"/>
      <c r="W37" s="658"/>
      <c r="X37" s="658"/>
      <c r="Y37" s="659"/>
      <c r="Z37" s="688"/>
      <c r="AA37" s="688"/>
      <c r="AB37" s="325"/>
    </row>
    <row r="38" spans="1:31" ht="15" customHeight="1" x14ac:dyDescent="0.3">
      <c r="B38" s="6"/>
      <c r="C38" s="426"/>
      <c r="D38" s="426"/>
      <c r="E38" s="426"/>
      <c r="F38" s="426"/>
      <c r="G38" s="710" t="str">
        <f>IF(B38="","",VLOOKUP(B38,Tableaux!CC:CE,2,FALSE))</f>
        <v/>
      </c>
      <c r="H38" s="710"/>
      <c r="I38" s="710"/>
      <c r="J38" s="711"/>
      <c r="K38" s="58"/>
      <c r="L38" s="107" t="s">
        <v>4154</v>
      </c>
      <c r="M38" s="608" t="s">
        <v>4157</v>
      </c>
      <c r="N38" s="608"/>
      <c r="O38" s="608"/>
      <c r="P38" s="608"/>
      <c r="Q38" s="608"/>
      <c r="R38" s="608"/>
      <c r="S38" s="608"/>
      <c r="T38" s="608"/>
      <c r="U38" s="608"/>
      <c r="V38" s="608"/>
      <c r="W38" s="608"/>
      <c r="X38" s="608"/>
      <c r="Y38" s="794"/>
      <c r="Z38" s="688"/>
      <c r="AA38" s="688"/>
      <c r="AB38" s="325"/>
    </row>
    <row r="39" spans="1:31" ht="15" customHeight="1" thickBot="1" x14ac:dyDescent="0.35">
      <c r="B39" s="14"/>
      <c r="C39" s="669"/>
      <c r="D39" s="669"/>
      <c r="E39" s="669"/>
      <c r="F39" s="669"/>
      <c r="G39" s="712" t="str">
        <f>IF(B39="","",VLOOKUP(B39,Tableaux!CC:CE,2,FALSE))</f>
        <v/>
      </c>
      <c r="H39" s="713"/>
      <c r="I39" s="713"/>
      <c r="J39" s="714"/>
      <c r="K39" s="58"/>
      <c r="L39" s="322" t="s">
        <v>1239</v>
      </c>
      <c r="M39" s="784" t="s">
        <v>4161</v>
      </c>
      <c r="N39" s="784"/>
      <c r="O39" s="784"/>
      <c r="P39" s="784"/>
      <c r="Q39" s="784"/>
      <c r="R39" s="784"/>
      <c r="S39" s="784"/>
      <c r="T39" s="784"/>
      <c r="U39" s="784"/>
      <c r="V39" s="784"/>
      <c r="W39" s="784"/>
      <c r="X39" s="784"/>
      <c r="Y39" s="785"/>
      <c r="Z39" s="688"/>
      <c r="AA39" s="688"/>
      <c r="AB39" s="330"/>
      <c r="AC39" s="330"/>
      <c r="AD39" s="330"/>
      <c r="AE39" s="330"/>
    </row>
    <row r="40" spans="1:31" ht="3" customHeight="1" thickBot="1" x14ac:dyDescent="0.35">
      <c r="L40" s="321"/>
      <c r="M40" s="321"/>
      <c r="N40" s="321"/>
      <c r="O40" s="321"/>
      <c r="P40" s="321"/>
      <c r="Q40" s="321"/>
      <c r="R40" s="321"/>
      <c r="S40" s="321"/>
      <c r="T40" s="321"/>
      <c r="U40" s="321"/>
      <c r="V40" s="321"/>
      <c r="W40" s="321"/>
      <c r="X40" s="321"/>
      <c r="Y40" s="321"/>
      <c r="Z40" s="688"/>
      <c r="AA40" s="688"/>
      <c r="AB40" s="321"/>
    </row>
    <row r="41" spans="1:31" ht="14.25" customHeight="1" x14ac:dyDescent="0.3">
      <c r="B41" s="185" t="s">
        <v>1212</v>
      </c>
      <c r="C41" s="69"/>
      <c r="D41" s="721" t="s">
        <v>4182</v>
      </c>
      <c r="E41" s="722"/>
      <c r="F41" s="722"/>
      <c r="G41" s="722"/>
      <c r="H41" s="722"/>
      <c r="I41" s="722"/>
      <c r="J41" s="722"/>
      <c r="K41" s="722"/>
      <c r="L41" s="722"/>
      <c r="M41" s="722"/>
      <c r="N41" s="722"/>
      <c r="O41" s="722"/>
      <c r="P41" s="722"/>
      <c r="Q41" s="723"/>
      <c r="R41" s="689" t="s">
        <v>4178</v>
      </c>
      <c r="S41" s="690"/>
      <c r="T41" s="690"/>
      <c r="U41" s="691"/>
      <c r="V41" s="795" t="s">
        <v>4179</v>
      </c>
      <c r="W41" s="795"/>
      <c r="X41" s="795"/>
      <c r="Y41" s="796"/>
      <c r="Z41" s="688"/>
      <c r="AA41" s="688"/>
    </row>
    <row r="42" spans="1:31" ht="17.25" customHeight="1" x14ac:dyDescent="0.3">
      <c r="B42" s="96" t="s">
        <v>1227</v>
      </c>
      <c r="D42" s="719" t="s">
        <v>4139</v>
      </c>
      <c r="E42" s="720"/>
      <c r="F42" s="578" t="s">
        <v>1215</v>
      </c>
      <c r="G42" s="578"/>
      <c r="H42" s="578"/>
      <c r="I42" s="694" t="s">
        <v>963</v>
      </c>
      <c r="J42" s="694"/>
      <c r="K42" s="694"/>
      <c r="L42" s="319" t="s">
        <v>1219</v>
      </c>
      <c r="M42" s="331" t="s">
        <v>966</v>
      </c>
      <c r="N42" s="578" t="s">
        <v>1224</v>
      </c>
      <c r="O42" s="578"/>
      <c r="P42" s="578"/>
      <c r="Q42" s="579"/>
      <c r="R42" s="678" t="s">
        <v>4171</v>
      </c>
      <c r="S42" s="679"/>
      <c r="T42" s="679"/>
      <c r="U42" s="680"/>
      <c r="V42" s="578" t="s">
        <v>4172</v>
      </c>
      <c r="W42" s="578"/>
      <c r="X42" s="578"/>
      <c r="Y42" s="579"/>
      <c r="Z42" s="688"/>
      <c r="AA42" s="688"/>
    </row>
    <row r="43" spans="1:31" ht="17.25" customHeight="1" x14ac:dyDescent="0.3">
      <c r="B43" s="96" t="s">
        <v>1229</v>
      </c>
      <c r="D43" s="718" t="s">
        <v>961</v>
      </c>
      <c r="E43" s="694"/>
      <c r="F43" s="578" t="s">
        <v>1216</v>
      </c>
      <c r="G43" s="578"/>
      <c r="H43" s="578"/>
      <c r="I43" s="694" t="s">
        <v>964</v>
      </c>
      <c r="J43" s="694"/>
      <c r="K43" s="694"/>
      <c r="L43" s="319" t="s">
        <v>1221</v>
      </c>
      <c r="M43" s="331" t="s">
        <v>3881</v>
      </c>
      <c r="N43" s="696" t="s">
        <v>4152</v>
      </c>
      <c r="O43" s="697"/>
      <c r="P43" s="697"/>
      <c r="Q43" s="698"/>
      <c r="R43" s="678" t="s">
        <v>4173</v>
      </c>
      <c r="S43" s="679"/>
      <c r="T43" s="679"/>
      <c r="U43" s="680"/>
      <c r="V43" s="578" t="s">
        <v>4176</v>
      </c>
      <c r="W43" s="578"/>
      <c r="X43" s="578"/>
      <c r="Y43" s="579"/>
      <c r="Z43" s="688"/>
      <c r="AA43" s="688"/>
    </row>
    <row r="44" spans="1:31" ht="17.25" customHeight="1" x14ac:dyDescent="0.3">
      <c r="B44" s="124" t="s">
        <v>1368</v>
      </c>
      <c r="D44" s="718" t="s">
        <v>962</v>
      </c>
      <c r="E44" s="694"/>
      <c r="F44" s="578" t="s">
        <v>4619</v>
      </c>
      <c r="G44" s="578"/>
      <c r="H44" s="578"/>
      <c r="I44" s="695" t="s">
        <v>1220</v>
      </c>
      <c r="J44" s="695"/>
      <c r="K44" s="695"/>
      <c r="L44" s="319" t="s">
        <v>1222</v>
      </c>
      <c r="M44" s="332" t="s">
        <v>967</v>
      </c>
      <c r="N44" s="578" t="s">
        <v>1225</v>
      </c>
      <c r="O44" s="578"/>
      <c r="P44" s="578"/>
      <c r="Q44" s="579"/>
      <c r="R44" s="678" t="s">
        <v>4174</v>
      </c>
      <c r="S44" s="679"/>
      <c r="T44" s="679"/>
      <c r="U44" s="680"/>
      <c r="V44" s="578" t="s">
        <v>4177</v>
      </c>
      <c r="W44" s="578"/>
      <c r="X44" s="578"/>
      <c r="Y44" s="579"/>
      <c r="Z44" s="688"/>
      <c r="AA44" s="688"/>
    </row>
    <row r="45" spans="1:31" ht="17.25" customHeight="1" thickBot="1" x14ac:dyDescent="0.35">
      <c r="B45" s="97" t="s">
        <v>1228</v>
      </c>
      <c r="D45" s="703" t="s">
        <v>4151</v>
      </c>
      <c r="E45" s="699"/>
      <c r="F45" s="578" t="s">
        <v>1218</v>
      </c>
      <c r="G45" s="578"/>
      <c r="H45" s="578"/>
      <c r="I45" s="695" t="s">
        <v>965</v>
      </c>
      <c r="J45" s="695"/>
      <c r="K45" s="695"/>
      <c r="L45" s="578" t="s">
        <v>1223</v>
      </c>
      <c r="M45" s="699" t="s">
        <v>968</v>
      </c>
      <c r="N45" s="578" t="s">
        <v>4180</v>
      </c>
      <c r="O45" s="578"/>
      <c r="P45" s="578"/>
      <c r="Q45" s="579"/>
      <c r="R45" s="678" t="s">
        <v>4175</v>
      </c>
      <c r="S45" s="679"/>
      <c r="T45" s="679"/>
      <c r="U45" s="680"/>
      <c r="V45" s="656" t="s">
        <v>4262</v>
      </c>
      <c r="W45" s="656"/>
      <c r="X45" s="656"/>
      <c r="Y45" s="657"/>
      <c r="Z45" s="688"/>
      <c r="AA45" s="688"/>
    </row>
    <row r="46" spans="1:31" ht="9.75" customHeight="1" thickBot="1" x14ac:dyDescent="0.35">
      <c r="D46" s="704"/>
      <c r="E46" s="700"/>
      <c r="F46" s="580"/>
      <c r="G46" s="580"/>
      <c r="H46" s="580"/>
      <c r="I46" s="705"/>
      <c r="J46" s="705"/>
      <c r="K46" s="705"/>
      <c r="L46" s="580"/>
      <c r="M46" s="700"/>
      <c r="N46" s="580"/>
      <c r="O46" s="580"/>
      <c r="P46" s="580"/>
      <c r="Q46" s="581"/>
      <c r="R46" s="681" t="s">
        <v>4181</v>
      </c>
      <c r="S46" s="682"/>
      <c r="T46" s="682"/>
      <c r="U46" s="683"/>
      <c r="V46" s="701" t="s">
        <v>4636</v>
      </c>
      <c r="W46" s="701"/>
      <c r="X46" s="701"/>
      <c r="Y46" s="702"/>
      <c r="Z46" s="688"/>
      <c r="AA46" s="688"/>
    </row>
    <row r="47" spans="1:31" s="348" customFormat="1" ht="9" customHeight="1" x14ac:dyDescent="0.2">
      <c r="B47" s="348" t="s">
        <v>4166</v>
      </c>
      <c r="C47" s="349">
        <v>6</v>
      </c>
      <c r="D47" s="349">
        <v>7</v>
      </c>
      <c r="E47" s="349">
        <v>8</v>
      </c>
      <c r="F47" s="348" t="s">
        <v>4167</v>
      </c>
      <c r="H47" s="348">
        <v>12</v>
      </c>
      <c r="J47" s="348" t="s">
        <v>4915</v>
      </c>
      <c r="L47" s="348" t="s">
        <v>4168</v>
      </c>
      <c r="M47" s="348" t="s">
        <v>4169</v>
      </c>
      <c r="N47" s="348">
        <v>20</v>
      </c>
      <c r="P47" s="348">
        <v>21</v>
      </c>
      <c r="R47" s="348" t="s">
        <v>4170</v>
      </c>
      <c r="W47" s="348" t="s">
        <v>4257</v>
      </c>
      <c r="X47" s="779">
        <v>29</v>
      </c>
      <c r="Y47" s="779"/>
      <c r="AA47" s="348">
        <v>30</v>
      </c>
    </row>
    <row r="48" spans="1:31" ht="6" customHeight="1" x14ac:dyDescent="0.3"/>
  </sheetData>
  <dataConsolidate/>
  <mergeCells count="171">
    <mergeCell ref="R31:W31"/>
    <mergeCell ref="N31:O31"/>
    <mergeCell ref="M36:Y36"/>
    <mergeCell ref="M38:Y38"/>
    <mergeCell ref="V41:Y41"/>
    <mergeCell ref="P25:Q25"/>
    <mergeCell ref="P26:Q26"/>
    <mergeCell ref="P27:Q27"/>
    <mergeCell ref="P28:Q28"/>
    <mergeCell ref="P29:Q29"/>
    <mergeCell ref="R27:W27"/>
    <mergeCell ref="X47:Y47"/>
    <mergeCell ref="N25:O25"/>
    <mergeCell ref="N26:O26"/>
    <mergeCell ref="N32:O32"/>
    <mergeCell ref="N33:O33"/>
    <mergeCell ref="P30:Q30"/>
    <mergeCell ref="P31:Q31"/>
    <mergeCell ref="P32:Q32"/>
    <mergeCell ref="P33:Q33"/>
    <mergeCell ref="N27:O27"/>
    <mergeCell ref="M39:Y39"/>
    <mergeCell ref="Y32:AB32"/>
    <mergeCell ref="M35:Y35"/>
    <mergeCell ref="R32:W32"/>
    <mergeCell ref="R33:W33"/>
    <mergeCell ref="R28:W28"/>
    <mergeCell ref="R29:W29"/>
    <mergeCell ref="R30:W30"/>
    <mergeCell ref="W10:AA10"/>
    <mergeCell ref="W11:AA11"/>
    <mergeCell ref="W12:AA12"/>
    <mergeCell ref="W13:AA13"/>
    <mergeCell ref="N8:AA8"/>
    <mergeCell ref="W14:AA14"/>
    <mergeCell ref="B2:AA2"/>
    <mergeCell ref="N4:Q4"/>
    <mergeCell ref="W4:AA4"/>
    <mergeCell ref="C5:F5"/>
    <mergeCell ref="N5:Q5"/>
    <mergeCell ref="W5:AA5"/>
    <mergeCell ref="G4:I4"/>
    <mergeCell ref="C4:F4"/>
    <mergeCell ref="J4:L4"/>
    <mergeCell ref="J5:L5"/>
    <mergeCell ref="R4:V4"/>
    <mergeCell ref="R5:V5"/>
    <mergeCell ref="W6:AA6"/>
    <mergeCell ref="G8:I8"/>
    <mergeCell ref="G7:I7"/>
    <mergeCell ref="N7:Q7"/>
    <mergeCell ref="W7:AA7"/>
    <mergeCell ref="J8:L8"/>
    <mergeCell ref="J7:L7"/>
    <mergeCell ref="J6:K6"/>
    <mergeCell ref="N6:Q6"/>
    <mergeCell ref="R6:V6"/>
    <mergeCell ref="R7:V7"/>
    <mergeCell ref="C20:E20"/>
    <mergeCell ref="C21:E21"/>
    <mergeCell ref="C6:F6"/>
    <mergeCell ref="G6:I6"/>
    <mergeCell ref="B10:G10"/>
    <mergeCell ref="B19:I19"/>
    <mergeCell ref="I15:K15"/>
    <mergeCell ref="I16:K16"/>
    <mergeCell ref="I17:K17"/>
    <mergeCell ref="G20:I20"/>
    <mergeCell ref="C8:F8"/>
    <mergeCell ref="C7:F7"/>
    <mergeCell ref="I10:M10"/>
    <mergeCell ref="I14:K14"/>
    <mergeCell ref="I11:K11"/>
    <mergeCell ref="I12:K12"/>
    <mergeCell ref="I13:K13"/>
    <mergeCell ref="L19:W19"/>
    <mergeCell ref="N21:O21"/>
    <mergeCell ref="R21:W21"/>
    <mergeCell ref="P21:Q21"/>
    <mergeCell ref="C22:E22"/>
    <mergeCell ref="C23:E23"/>
    <mergeCell ref="C24:E24"/>
    <mergeCell ref="C25:E25"/>
    <mergeCell ref="C32:E32"/>
    <mergeCell ref="C33:E33"/>
    <mergeCell ref="C29:E29"/>
    <mergeCell ref="C30:E30"/>
    <mergeCell ref="C31:E31"/>
    <mergeCell ref="D45:E46"/>
    <mergeCell ref="F45:H46"/>
    <mergeCell ref="I45:K46"/>
    <mergeCell ref="L45:L46"/>
    <mergeCell ref="C26:E26"/>
    <mergeCell ref="C27:E27"/>
    <mergeCell ref="C28:E28"/>
    <mergeCell ref="G35:J35"/>
    <mergeCell ref="G36:J36"/>
    <mergeCell ref="G37:J37"/>
    <mergeCell ref="G38:J38"/>
    <mergeCell ref="G39:J39"/>
    <mergeCell ref="C35:F35"/>
    <mergeCell ref="C36:F36"/>
    <mergeCell ref="C37:F37"/>
    <mergeCell ref="C38:F38"/>
    <mergeCell ref="C39:F39"/>
    <mergeCell ref="D44:E44"/>
    <mergeCell ref="F43:H43"/>
    <mergeCell ref="F44:H44"/>
    <mergeCell ref="D43:E43"/>
    <mergeCell ref="D42:E42"/>
    <mergeCell ref="F42:H42"/>
    <mergeCell ref="D41:Q41"/>
    <mergeCell ref="I42:K42"/>
    <mergeCell ref="I43:K43"/>
    <mergeCell ref="I44:K44"/>
    <mergeCell ref="N42:Q42"/>
    <mergeCell ref="N43:Q43"/>
    <mergeCell ref="N44:Q44"/>
    <mergeCell ref="V43:Y43"/>
    <mergeCell ref="V44:Y44"/>
    <mergeCell ref="M45:M46"/>
    <mergeCell ref="V46:Y46"/>
    <mergeCell ref="V42:Y42"/>
    <mergeCell ref="O10:S10"/>
    <mergeCell ref="R11:S11"/>
    <mergeCell ref="R12:S12"/>
    <mergeCell ref="R14:U14"/>
    <mergeCell ref="O11:Q11"/>
    <mergeCell ref="N24:O24"/>
    <mergeCell ref="R45:U45"/>
    <mergeCell ref="R46:U46"/>
    <mergeCell ref="O16:Q16"/>
    <mergeCell ref="O17:Q17"/>
    <mergeCell ref="N22:O22"/>
    <mergeCell ref="N23:O23"/>
    <mergeCell ref="R41:U41"/>
    <mergeCell ref="R42:U42"/>
    <mergeCell ref="R43:U43"/>
    <mergeCell ref="R44:U44"/>
    <mergeCell ref="N45:Q46"/>
    <mergeCell ref="O14:Q14"/>
    <mergeCell ref="O12:Q12"/>
    <mergeCell ref="N20:O20"/>
    <mergeCell ref="P20:Q20"/>
    <mergeCell ref="R20:W20"/>
    <mergeCell ref="N28:O28"/>
    <mergeCell ref="N29:O29"/>
    <mergeCell ref="W16:X16"/>
    <mergeCell ref="W17:X17"/>
    <mergeCell ref="T16:V16"/>
    <mergeCell ref="T17:V17"/>
    <mergeCell ref="V45:Y45"/>
    <mergeCell ref="M37:Y37"/>
    <mergeCell ref="Y24:AB24"/>
    <mergeCell ref="Y25:AB25"/>
    <mergeCell ref="Y26:AB26"/>
    <mergeCell ref="Y22:AA23"/>
    <mergeCell ref="Y30:AA30"/>
    <mergeCell ref="Y31:AB31"/>
    <mergeCell ref="Y27:AA29"/>
    <mergeCell ref="Z33:AA46"/>
    <mergeCell ref="Y21:AA21"/>
    <mergeCell ref="N30:O30"/>
    <mergeCell ref="R22:W22"/>
    <mergeCell ref="R23:W23"/>
    <mergeCell ref="R24:W24"/>
    <mergeCell ref="R25:W25"/>
    <mergeCell ref="R26:W26"/>
    <mergeCell ref="P22:Q22"/>
    <mergeCell ref="P23:Q23"/>
    <mergeCell ref="P24:Q24"/>
  </mergeCells>
  <dataValidations count="22">
    <dataValidation type="list" allowBlank="1" showInputMessage="1" showErrorMessage="1" sqref="J8" xr:uid="{00000000-0002-0000-0300-000001000000}">
      <formula1>Religions</formula1>
    </dataValidation>
    <dataValidation type="list" allowBlank="1" showInputMessage="1" showErrorMessage="1" sqref="N4:Q4" xr:uid="{00000000-0002-0000-0300-000002000000}">
      <formula1>Année</formula1>
    </dataValidation>
    <dataValidation type="list" allowBlank="1" showInputMessage="1" showErrorMessage="1" sqref="N7:Q7" xr:uid="{00000000-0002-0000-0300-000003000000}">
      <formula1>Signe_Astraux</formula1>
    </dataValidation>
    <dataValidation type="list" allowBlank="1" showInputMessage="1" showErrorMessage="1" sqref="J7" xr:uid="{00000000-0002-0000-0300-000004000000}">
      <formula1>Poids</formula1>
    </dataValidation>
    <dataValidation type="list" allowBlank="1" showInputMessage="1" showErrorMessage="1" sqref="W7:AA7" xr:uid="{F72DDA24-31CF-4532-BD16-9A9B3F2949D1}">
      <formula1>Dextrie</formula1>
    </dataValidation>
    <dataValidation type="list" allowBlank="1" showInputMessage="1" showErrorMessage="1" sqref="C8" xr:uid="{00000000-0002-0000-0300-000006000000}">
      <formula1>Signes</formula1>
    </dataValidation>
    <dataValidation type="list" allowBlank="1" showInputMessage="1" showErrorMessage="1" sqref="C7:F7" xr:uid="{2D23F621-63C9-468A-931F-84031F86BB28}">
      <formula1>Ethnie</formula1>
    </dataValidation>
    <dataValidation type="list" allowBlank="1" showInputMessage="1" showErrorMessage="1" sqref="W6:AA6" xr:uid="{0406B5C3-5DE8-4956-B9E0-169EA97AC340}">
      <formula1>Statut_Marital</formula1>
    </dataValidation>
    <dataValidation type="list" allowBlank="1" showInputMessage="1" showErrorMessage="1" sqref="W5:AA5" xr:uid="{7F332AD7-EF7C-47A8-91CA-5B72BDECA533}">
      <formula1>Métiers</formula1>
    </dataValidation>
    <dataValidation type="list" allowBlank="1" showInputMessage="1" showErrorMessage="1" sqref="N6:Q6" xr:uid="{00000000-0002-0000-0300-00000A000000}">
      <formula1>Yeux</formula1>
    </dataValidation>
    <dataValidation type="list" allowBlank="1" showInputMessage="1" showErrorMessage="1" sqref="N5:Q5" xr:uid="{00000000-0002-0000-0300-00000B000000}">
      <formula1>Cheveux</formula1>
    </dataValidation>
    <dataValidation type="list" allowBlank="1" showInputMessage="1" showErrorMessage="1" sqref="J6" xr:uid="{00000000-0002-0000-0300-00000C000000}">
      <formula1>Age</formula1>
    </dataValidation>
    <dataValidation type="list" allowBlank="1" showInputMessage="1" showErrorMessage="1" sqref="J5" xr:uid="{F9B3A800-C8BA-4766-9BC9-E42496A347FA}">
      <formula1>Taille</formula1>
    </dataValidation>
    <dataValidation type="list" allowBlank="1" showInputMessage="1" showErrorMessage="1" sqref="C6:F6" xr:uid="{BFEF242A-10CB-4433-9C4B-A13C56192064}">
      <formula1>Sexe</formula1>
    </dataValidation>
    <dataValidation type="list" allowBlank="1" showInputMessage="1" showErrorMessage="1" sqref="I29:I34 I21:J28 E12:E16" xr:uid="{00000000-0002-0000-0300-00000F000000}">
      <formula1>Dés</formula1>
    </dataValidation>
    <dataValidation type="list" allowBlank="1" showInputMessage="1" showErrorMessage="1" sqref="J4" xr:uid="{B73A3995-3A77-490B-9027-64E5910CCA72}">
      <formula1>Territoires</formula1>
    </dataValidation>
    <dataValidation type="list" allowBlank="1" showInputMessage="1" showErrorMessage="1" sqref="B21:B33" xr:uid="{00000000-0002-0000-0300-000011000000}">
      <formula1>CompReloaded</formula1>
    </dataValidation>
    <dataValidation type="list" allowBlank="1" showInputMessage="1" showErrorMessage="1" sqref="C21:E33" xr:uid="{00000000-0002-0000-0300-000012000000}">
      <formula1>IF(A21=1,Combatdis,IF(A21=2,Conduire,IF(A21=3,Connaissances,IF(A21=4,Equitation,IF(A21=5,Jeux,IF(A21=6,Lancer,IF(A21=7,Langues,IF(A21=8,Perception,IF(A21=9,Conduire,IF(A21=10,Médecine,IF(A21=11,Survie,IF(A21=12,Tirer,IF(A21=13,Réseaux,"")))))))))))))</formula1>
    </dataValidation>
    <dataValidation type="list" allowBlank="1" showInputMessage="1" showErrorMessage="1" sqref="L21:L33" xr:uid="{00000000-0002-0000-0300-000013000000}">
      <formula1>Pouvoirs</formula1>
    </dataValidation>
    <dataValidation type="list" allowBlank="1" showInputMessage="1" showErrorMessage="1" sqref="W11:W14" xr:uid="{00000000-0002-0000-0300-000014000000}">
      <formula1>Démence</formula1>
    </dataValidation>
    <dataValidation type="whole" operator="greaterThan" allowBlank="1" showInputMessage="1" showErrorMessage="1" sqref="R11:S11" xr:uid="{00000000-0002-0000-0300-000015000000}">
      <formula1>-1</formula1>
    </dataValidation>
    <dataValidation type="list" allowBlank="1" showInputMessage="1" showErrorMessage="1" sqref="B36:B39" xr:uid="{00000000-0002-0000-0300-000016000000}">
      <formula1>Armures</formula1>
    </dataValidation>
  </dataValidations>
  <pageMargins left="0.23622047244094488" right="0.23622047244094488" top="0.3543307086614173" bottom="0.3543307086614173" header="0.31496062992125984" footer="0.31496062992125984"/>
  <pageSetup paperSize="9" orientation="portrait" horizontalDpi="300" verticalDpi="300" r:id="rId1"/>
  <ignoredErrors>
    <ignoredError sqref="F47"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AF43"/>
  <sheetViews>
    <sheetView zoomScale="115" zoomScaleNormal="115" workbookViewId="0">
      <selection activeCell="C5" sqref="C5:D5"/>
    </sheetView>
  </sheetViews>
  <sheetFormatPr baseColWidth="10" defaultRowHeight="14.4" x14ac:dyDescent="0.3"/>
  <cols>
    <col min="1" max="1" width="0.33203125" style="22" customWidth="1"/>
    <col min="2" max="2" width="3" customWidth="1"/>
    <col min="3" max="3" width="8.33203125" customWidth="1"/>
    <col min="4" max="4" width="8.88671875" customWidth="1"/>
    <col min="5" max="7" width="3.44140625" customWidth="1"/>
    <col min="8" max="8" width="0.6640625" style="22" customWidth="1"/>
    <col min="9" max="9" width="3" customWidth="1"/>
    <col min="10" max="10" width="12.88671875" customWidth="1"/>
    <col min="11" max="11" width="3" customWidth="1"/>
    <col min="12" max="12" width="5.6640625" customWidth="1"/>
    <col min="13" max="15" width="3.44140625" customWidth="1"/>
    <col min="16" max="16" width="0.6640625" style="22" customWidth="1"/>
    <col min="17" max="17" width="3" customWidth="1"/>
    <col min="18" max="18" width="7.109375" bestFit="1" customWidth="1"/>
    <col min="19" max="19" width="6.88671875" customWidth="1"/>
    <col min="20" max="22" width="3.44140625" customWidth="1"/>
    <col min="23" max="23" width="3.6640625" customWidth="1"/>
    <col min="24" max="24" width="0.33203125" customWidth="1"/>
    <col min="25" max="25" width="1.33203125" customWidth="1"/>
    <col min="26" max="26" width="7.6640625" customWidth="1"/>
  </cols>
  <sheetData>
    <row r="1" spans="3:23" ht="5.4" customHeight="1" x14ac:dyDescent="0.3"/>
    <row r="2" spans="3:23" ht="27" customHeight="1" x14ac:dyDescent="0.3">
      <c r="C2" s="552"/>
      <c r="D2" s="552"/>
      <c r="E2" s="552"/>
      <c r="F2" s="552"/>
      <c r="G2" s="552"/>
      <c r="H2" s="552"/>
      <c r="I2" s="552"/>
      <c r="J2" s="552"/>
      <c r="K2" s="552"/>
      <c r="L2" s="552"/>
      <c r="M2" s="552"/>
      <c r="N2" s="552"/>
      <c r="O2" s="552"/>
      <c r="P2" s="552"/>
      <c r="Q2" s="552"/>
      <c r="R2" s="552"/>
      <c r="S2" s="552"/>
      <c r="T2" s="552"/>
      <c r="U2" s="552"/>
      <c r="V2" s="552"/>
      <c r="W2" s="552"/>
    </row>
    <row r="3" spans="3:23" ht="5.4" customHeight="1" thickBot="1" x14ac:dyDescent="0.35"/>
    <row r="4" spans="3:23" ht="12.75" customHeight="1" x14ac:dyDescent="0.4">
      <c r="C4" s="844" t="s">
        <v>352</v>
      </c>
      <c r="D4" s="845"/>
      <c r="E4" s="845"/>
      <c r="F4" s="845"/>
      <c r="G4" s="845"/>
      <c r="H4" s="845"/>
      <c r="I4" s="845"/>
      <c r="J4" s="846"/>
      <c r="K4" s="300" t="s">
        <v>396</v>
      </c>
      <c r="L4" s="175" t="str">
        <f>IF(Syst.="","",IF(Syst.="Classic","Coût","Rang"))</f>
        <v>Rang</v>
      </c>
      <c r="M4" s="58"/>
      <c r="N4" s="827" t="s">
        <v>353</v>
      </c>
      <c r="O4" s="828"/>
      <c r="P4" s="828"/>
      <c r="Q4" s="828"/>
      <c r="R4" s="828"/>
      <c r="S4" s="828"/>
      <c r="T4" s="828"/>
      <c r="U4" s="828"/>
      <c r="V4" s="829"/>
      <c r="W4" s="175" t="str">
        <f>IF(Syst.="","",IF(Syst.="Classic","Coût","m/M?"))</f>
        <v>m/M?</v>
      </c>
    </row>
    <row r="5" spans="3:23" ht="30.75" customHeight="1" x14ac:dyDescent="0.3">
      <c r="C5" s="809"/>
      <c r="D5" s="811"/>
      <c r="E5" s="696" t="str">
        <f>IF(C5="","",IF(Syst.="Classic",VLOOKUP(C5,Atouts!$B:$H,7,FALSE),VLOOKUP(C5,Atouts!$B:$I,8,FALSE)))</f>
        <v/>
      </c>
      <c r="F5" s="697"/>
      <c r="G5" s="697"/>
      <c r="H5" s="697"/>
      <c r="I5" s="697"/>
      <c r="J5" s="805"/>
      <c r="K5" s="287" t="str">
        <f>IF(C5="","",VLOOKUP(C5,Atouts!A:C,3,FALSE))</f>
        <v/>
      </c>
      <c r="L5" s="95" t="str">
        <f>IF(C5="","",IF(Syst.="Classic",VLOOKUP(C5,Atouts!$B:$H,5,FALSE),VLOOKUP(C5,Atouts!$B:$I,3,FALSE)))</f>
        <v/>
      </c>
      <c r="M5" s="58"/>
      <c r="N5" s="809"/>
      <c r="O5" s="810"/>
      <c r="P5" s="810"/>
      <c r="Q5" s="810"/>
      <c r="R5" s="811"/>
      <c r="S5" s="824" t="str">
        <f>IF(N5="","",IF(Syst.="Classic",VLOOKUP(N5,Handicaps!$B:$F,5,FALSE),VLOOKUP(N5,Handicaps!$B:$G,6,FALSE)))</f>
        <v/>
      </c>
      <c r="T5" s="824"/>
      <c r="U5" s="824"/>
      <c r="V5" s="824"/>
      <c r="W5" s="95" t="str">
        <f>IF(N5="","",IF(Syst.="Classic",VLOOKUP(N5,Handicaps!$B:$D,3,FALSE),VLOOKUP(N5,Handicaps!A:C,3,FALSE)))</f>
        <v/>
      </c>
    </row>
    <row r="6" spans="3:23" ht="30.75" customHeight="1" x14ac:dyDescent="0.3">
      <c r="C6" s="809"/>
      <c r="D6" s="811"/>
      <c r="E6" s="696" t="str">
        <f>IF(C6="","",IF(Syst.="Classic",VLOOKUP(C6,Atouts!$B:$H,7,FALSE),VLOOKUP(C6,Atouts!$B:$I,8,FALSE)))</f>
        <v/>
      </c>
      <c r="F6" s="697"/>
      <c r="G6" s="697"/>
      <c r="H6" s="697"/>
      <c r="I6" s="697"/>
      <c r="J6" s="805"/>
      <c r="K6" s="287" t="str">
        <f>IF(C6="","",VLOOKUP(C6,Atouts!A:C,3,FALSE))</f>
        <v/>
      </c>
      <c r="L6" s="95" t="str">
        <f>IF(C6="","",IF(Syst.="Classic",VLOOKUP(C6,Atouts!$B:$H,5,FALSE),VLOOKUP(C6,Atouts!$B:$I,3,FALSE)))</f>
        <v/>
      </c>
      <c r="M6" s="58"/>
      <c r="N6" s="809"/>
      <c r="O6" s="810"/>
      <c r="P6" s="810"/>
      <c r="Q6" s="810"/>
      <c r="R6" s="811"/>
      <c r="S6" s="824" t="str">
        <f>IF(N6="","",IF(Syst.="Classic",VLOOKUP(N6,Handicaps!$B:$F,5,FALSE),VLOOKUP(N6,Handicaps!$B:$G,6,FALSE)))</f>
        <v/>
      </c>
      <c r="T6" s="824"/>
      <c r="U6" s="824"/>
      <c r="V6" s="824"/>
      <c r="W6" s="95" t="str">
        <f>IF(N6="","",IF(Syst.="Classic",VLOOKUP(N6,Handicaps!$B:$D,3,FALSE),VLOOKUP(N6,Handicaps!A:C,3,FALSE)))</f>
        <v/>
      </c>
    </row>
    <row r="7" spans="3:23" ht="30.75" customHeight="1" x14ac:dyDescent="0.3">
      <c r="C7" s="809"/>
      <c r="D7" s="811"/>
      <c r="E7" s="696" t="str">
        <f>IF(C7="","",IF(Syst.="Classic",VLOOKUP(C7,Atouts!$B:$H,7,FALSE),VLOOKUP(C7,Atouts!$B:$I,8,FALSE)))</f>
        <v/>
      </c>
      <c r="F7" s="697"/>
      <c r="G7" s="697"/>
      <c r="H7" s="697"/>
      <c r="I7" s="697"/>
      <c r="J7" s="805"/>
      <c r="K7" s="287" t="str">
        <f>IF(C7="","",VLOOKUP(C7,Atouts!A:C,3,FALSE))</f>
        <v/>
      </c>
      <c r="L7" s="95" t="str">
        <f>IF(C7="","",IF(Syst.="Classic",VLOOKUP(C7,Atouts!$B:$H,5,FALSE),VLOOKUP(C7,Atouts!$B:$I,3,FALSE)))</f>
        <v/>
      </c>
      <c r="M7" s="58"/>
      <c r="N7" s="809"/>
      <c r="O7" s="810"/>
      <c r="P7" s="810"/>
      <c r="Q7" s="810"/>
      <c r="R7" s="811"/>
      <c r="S7" s="824" t="str">
        <f>IF(N7="","",IF(Syst.="Classic",VLOOKUP(N7,Handicaps!$B:$F,5,FALSE),VLOOKUP(N7,Handicaps!$B:$G,6,FALSE)))</f>
        <v/>
      </c>
      <c r="T7" s="824"/>
      <c r="U7" s="824"/>
      <c r="V7" s="824"/>
      <c r="W7" s="95" t="str">
        <f>IF(N7="","",IF(Syst.="Classic",VLOOKUP(N7,Handicaps!$B:$D,3,FALSE),VLOOKUP(N7,Handicaps!A:C,3,FALSE)))</f>
        <v/>
      </c>
    </row>
    <row r="8" spans="3:23" ht="30.75" customHeight="1" x14ac:dyDescent="0.3">
      <c r="C8" s="809"/>
      <c r="D8" s="811"/>
      <c r="E8" s="696" t="str">
        <f>IF(C8="","",IF(Syst.="Classic",VLOOKUP(C8,Atouts!$B:$H,7,FALSE),VLOOKUP(C8,Atouts!$B:$I,8,FALSE)))</f>
        <v/>
      </c>
      <c r="F8" s="697"/>
      <c r="G8" s="697"/>
      <c r="H8" s="697"/>
      <c r="I8" s="697"/>
      <c r="J8" s="805"/>
      <c r="K8" s="287" t="str">
        <f>IF(C8="","",VLOOKUP(C8,Atouts!A:C,3,FALSE))</f>
        <v/>
      </c>
      <c r="L8" s="95" t="str">
        <f>IF(C8="","",IF(Syst.="Classic",VLOOKUP(C8,Atouts!$B:$H,5,FALSE),VLOOKUP(C8,Atouts!$B:$I,3,FALSE)))</f>
        <v/>
      </c>
      <c r="M8" s="58"/>
      <c r="N8" s="809"/>
      <c r="O8" s="810"/>
      <c r="P8" s="810"/>
      <c r="Q8" s="810"/>
      <c r="R8" s="811"/>
      <c r="S8" s="824" t="str">
        <f>IF(N8="","",IF(Syst.="Classic",VLOOKUP(N8,Handicaps!$B:$F,5,FALSE),VLOOKUP(N8,Handicaps!$B:$G,6,FALSE)))</f>
        <v/>
      </c>
      <c r="T8" s="824"/>
      <c r="U8" s="824"/>
      <c r="V8" s="824"/>
      <c r="W8" s="95" t="str">
        <f>IF(N8="","",IF(Syst.="Classic",VLOOKUP(N8,Handicaps!$B:$D,3,FALSE),VLOOKUP(N8,Handicaps!A:C,3,FALSE)))</f>
        <v/>
      </c>
    </row>
    <row r="9" spans="3:23" ht="30.75" customHeight="1" x14ac:dyDescent="0.3">
      <c r="C9" s="809"/>
      <c r="D9" s="811"/>
      <c r="E9" s="696" t="str">
        <f>IF(C9="","",IF(Syst.="Classic",VLOOKUP(C9,Atouts!$B:$H,7,FALSE),VLOOKUP(C9,Atouts!$B:$I,8,FALSE)))</f>
        <v/>
      </c>
      <c r="F9" s="697"/>
      <c r="G9" s="697"/>
      <c r="H9" s="697"/>
      <c r="I9" s="697"/>
      <c r="J9" s="805"/>
      <c r="K9" s="287" t="str">
        <f>IF(C9="","",VLOOKUP(C9,Atouts!A:C,3,FALSE))</f>
        <v/>
      </c>
      <c r="L9" s="95" t="str">
        <f>IF(C9="","",IF(Syst.="Classic",VLOOKUP(C9,Atouts!$B:$H,5,FALSE),VLOOKUP(C9,Atouts!$B:$I,3,FALSE)))</f>
        <v/>
      </c>
      <c r="M9" s="58"/>
      <c r="N9" s="809"/>
      <c r="O9" s="810"/>
      <c r="P9" s="810"/>
      <c r="Q9" s="810"/>
      <c r="R9" s="811"/>
      <c r="S9" s="824" t="str">
        <f>IF(N9="","",IF(Syst.="Classic",VLOOKUP(N9,Handicaps!$B:$F,5,FALSE),VLOOKUP(N9,Handicaps!$B:$G,6,FALSE)))</f>
        <v/>
      </c>
      <c r="T9" s="824"/>
      <c r="U9" s="824"/>
      <c r="V9" s="824"/>
      <c r="W9" s="95" t="str">
        <f>IF(N9="","",IF(Syst.="Classic",VLOOKUP(N9,Handicaps!$B:$D,3,FALSE),VLOOKUP(N9,Handicaps!A:C,3,FALSE)))</f>
        <v/>
      </c>
    </row>
    <row r="10" spans="3:23" ht="30.75" customHeight="1" x14ac:dyDescent="0.3">
      <c r="C10" s="809"/>
      <c r="D10" s="811"/>
      <c r="E10" s="696" t="str">
        <f>IF(C10="","",IF(Syst.="Classic",VLOOKUP(C10,Atouts!$B:$H,7,FALSE),VLOOKUP(C10,Atouts!$B:$I,8,FALSE)))</f>
        <v/>
      </c>
      <c r="F10" s="697"/>
      <c r="G10" s="697"/>
      <c r="H10" s="697"/>
      <c r="I10" s="697"/>
      <c r="J10" s="805"/>
      <c r="K10" s="287" t="str">
        <f>IF(C10="","",VLOOKUP(C10,Atouts!A:C,3,FALSE))</f>
        <v/>
      </c>
      <c r="L10" s="95" t="str">
        <f>IF(C10="","",IF(Syst.="Classic",VLOOKUP(C10,Atouts!$B:$H,5,FALSE),VLOOKUP(C10,Atouts!$B:$I,3,FALSE)))</f>
        <v/>
      </c>
      <c r="M10" s="58"/>
      <c r="N10" s="809"/>
      <c r="O10" s="810"/>
      <c r="P10" s="810"/>
      <c r="Q10" s="810"/>
      <c r="R10" s="811"/>
      <c r="S10" s="824" t="str">
        <f>IF(N10="","",IF(Syst.="Classic",VLOOKUP(N10,Handicaps!$B:$F,5,FALSE),VLOOKUP(N10,Handicaps!$B:$G,6,FALSE)))</f>
        <v/>
      </c>
      <c r="T10" s="824"/>
      <c r="U10" s="824"/>
      <c r="V10" s="824"/>
      <c r="W10" s="95" t="str">
        <f>IF(N10="","",IF(Syst.="Classic",VLOOKUP(N10,Handicaps!$B:$D,3,FALSE),VLOOKUP(N10,Handicaps!A:C,3,FALSE)))</f>
        <v/>
      </c>
    </row>
    <row r="11" spans="3:23" ht="30.75" customHeight="1" x14ac:dyDescent="0.3">
      <c r="C11" s="809"/>
      <c r="D11" s="811"/>
      <c r="E11" s="696" t="str">
        <f>IF(C11="","",IF(Syst.="Classic",VLOOKUP(C11,Atouts!$B:$H,7,FALSE),VLOOKUP(C11,Atouts!$B:$I,8,FALSE)))</f>
        <v/>
      </c>
      <c r="F11" s="697"/>
      <c r="G11" s="697"/>
      <c r="H11" s="697"/>
      <c r="I11" s="697"/>
      <c r="J11" s="805"/>
      <c r="K11" s="287" t="str">
        <f>IF(C11="","",VLOOKUP(C11,Atouts!A:C,3,FALSE))</f>
        <v/>
      </c>
      <c r="L11" s="95" t="str">
        <f>IF(C11="","",IF(Syst.="Classic",VLOOKUP(C11,Atouts!$B:$H,5,FALSE),VLOOKUP(C11,Atouts!$B:$I,3,FALSE)))</f>
        <v/>
      </c>
      <c r="M11" s="58"/>
      <c r="N11" s="809"/>
      <c r="O11" s="810"/>
      <c r="P11" s="810"/>
      <c r="Q11" s="810"/>
      <c r="R11" s="811"/>
      <c r="S11" s="824" t="str">
        <f>IF(N11="","",IF(Syst.="Classic",VLOOKUP(N11,Handicaps!$B:$F,5,FALSE),VLOOKUP(N11,Handicaps!$B:$G,6,FALSE)))</f>
        <v/>
      </c>
      <c r="T11" s="824"/>
      <c r="U11" s="824"/>
      <c r="V11" s="824"/>
      <c r="W11" s="95" t="str">
        <f>IF(N11="","",IF(Syst.="Classic",VLOOKUP(N11,Handicaps!$B:$D,3,FALSE),VLOOKUP(N11,Handicaps!A:C,3,FALSE)))</f>
        <v/>
      </c>
    </row>
    <row r="12" spans="3:23" ht="30.75" customHeight="1" x14ac:dyDescent="0.3">
      <c r="C12" s="809"/>
      <c r="D12" s="811"/>
      <c r="E12" s="696" t="str">
        <f>IF(C12="","",IF(Syst.="Classic",VLOOKUP(C12,Atouts!$B:$H,7,FALSE),VLOOKUP(C12,Atouts!$B:$I,8,FALSE)))</f>
        <v/>
      </c>
      <c r="F12" s="697"/>
      <c r="G12" s="697"/>
      <c r="H12" s="697"/>
      <c r="I12" s="697"/>
      <c r="J12" s="805"/>
      <c r="K12" s="287" t="str">
        <f>IF(C12="","",VLOOKUP(C12,Atouts!A:C,3,FALSE))</f>
        <v/>
      </c>
      <c r="L12" s="95" t="str">
        <f>IF(C12="","",IF(Syst.="Classic",VLOOKUP(C12,Atouts!$B:$H,5,FALSE),VLOOKUP(C12,Atouts!$B:$I,3,FALSE)))</f>
        <v/>
      </c>
      <c r="M12" s="58"/>
      <c r="N12" s="809"/>
      <c r="O12" s="810"/>
      <c r="P12" s="810"/>
      <c r="Q12" s="810"/>
      <c r="R12" s="811"/>
      <c r="S12" s="824" t="str">
        <f>IF(N12="","",IF(Syst.="Classic",VLOOKUP(N12,Handicaps!$B:$F,5,FALSE),VLOOKUP(N12,Handicaps!$B:$G,6,FALSE)))</f>
        <v/>
      </c>
      <c r="T12" s="824"/>
      <c r="U12" s="824"/>
      <c r="V12" s="824"/>
      <c r="W12" s="95" t="str">
        <f>IF(N12="","",IF(Syst.="Classic",VLOOKUP(N12,Handicaps!$B:$D,3,FALSE),VLOOKUP(N12,Handicaps!A:C,3,FALSE)))</f>
        <v/>
      </c>
    </row>
    <row r="13" spans="3:23" ht="30.75" customHeight="1" x14ac:dyDescent="0.3">
      <c r="C13" s="809"/>
      <c r="D13" s="811"/>
      <c r="E13" s="696" t="str">
        <f>IF(C13="","",IF(Syst.="Classic",VLOOKUP(C13,Atouts!$B:$H,7,FALSE),VLOOKUP(C13,Atouts!$B:$I,8,FALSE)))</f>
        <v/>
      </c>
      <c r="F13" s="697"/>
      <c r="G13" s="697"/>
      <c r="H13" s="697"/>
      <c r="I13" s="697"/>
      <c r="J13" s="805"/>
      <c r="K13" s="287" t="str">
        <f>IF(C13="","",VLOOKUP(C13,Atouts!A:C,3,FALSE))</f>
        <v/>
      </c>
      <c r="L13" s="95" t="str">
        <f>IF(C13="","",IF(Syst.="Classic",VLOOKUP(C13,Atouts!$B:$H,5,FALSE),VLOOKUP(C13,Atouts!$B:$I,3,FALSE)))</f>
        <v/>
      </c>
      <c r="M13" s="58"/>
      <c r="N13" s="809"/>
      <c r="O13" s="810"/>
      <c r="P13" s="810"/>
      <c r="Q13" s="810"/>
      <c r="R13" s="811"/>
      <c r="S13" s="824" t="str">
        <f>IF(N13="","",IF(Syst.="Classic",VLOOKUP(N13,Handicaps!$B:$F,5,FALSE),VLOOKUP(N13,Handicaps!$B:$G,6,FALSE)))</f>
        <v/>
      </c>
      <c r="T13" s="824"/>
      <c r="U13" s="824"/>
      <c r="V13" s="824"/>
      <c r="W13" s="95" t="str">
        <f>IF(N13="","",IF(Syst.="Classic",VLOOKUP(N13,Handicaps!$B:$D,3,FALSE),VLOOKUP(N13,Handicaps!A:C,3,FALSE)))</f>
        <v/>
      </c>
    </row>
    <row r="14" spans="3:23" ht="30.75" customHeight="1" thickBot="1" x14ac:dyDescent="0.35">
      <c r="C14" s="831"/>
      <c r="D14" s="832"/>
      <c r="E14" s="806" t="str">
        <f>IF(C14="","",IF(Syst.="Classic",VLOOKUP(C14,Atouts!$B:$H,7,FALSE),VLOOKUP(C14,Atouts!$B:$I,8,FALSE)))</f>
        <v/>
      </c>
      <c r="F14" s="807"/>
      <c r="G14" s="807"/>
      <c r="H14" s="807"/>
      <c r="I14" s="807"/>
      <c r="J14" s="808"/>
      <c r="K14" s="288" t="str">
        <f>IF(C14="","",VLOOKUP(C14,Atouts!A:C,3,FALSE))</f>
        <v/>
      </c>
      <c r="L14" s="289" t="str">
        <f>IF(C14="","",IF(Syst.="Classic",VLOOKUP(C14,Atouts!$B:$H,5,FALSE),VLOOKUP(C14,Atouts!$B:$I,3,FALSE)))</f>
        <v/>
      </c>
      <c r="M14" s="58"/>
      <c r="N14" s="812" t="str">
        <f>IF(Vérif_Détérré=TRUE,"Dégénérescence (normal)","")</f>
        <v/>
      </c>
      <c r="O14" s="813"/>
      <c r="P14" s="813"/>
      <c r="Q14" s="813"/>
      <c r="R14" s="814"/>
      <c r="S14" s="830" t="str">
        <f>IF(N14="","",IF(Syst.="Classic",VLOOKUP(N14,Handicaps!$B:$F,5,FALSE),VLOOKUP(N14,Handicaps!$B:$G,6,FALSE)))</f>
        <v/>
      </c>
      <c r="T14" s="830"/>
      <c r="U14" s="830"/>
      <c r="V14" s="830"/>
      <c r="W14" s="289" t="str">
        <f>IF(N14="","",IF(Syst.="Classic",VLOOKUP(N14,Handicaps!$B:$D,3,FALSE),VLOOKUP(N14,Handicaps!A:C,3,FALSE)))</f>
        <v/>
      </c>
    </row>
    <row r="15" spans="3:23" ht="12" customHeight="1" x14ac:dyDescent="0.3">
      <c r="C15" s="825"/>
      <c r="D15" s="825"/>
      <c r="E15" s="826"/>
      <c r="F15" s="826"/>
      <c r="G15" s="826"/>
      <c r="H15" s="826"/>
      <c r="I15" s="826"/>
      <c r="J15" s="834" t="s">
        <v>1253</v>
      </c>
      <c r="K15" s="834"/>
      <c r="L15" s="58">
        <f>SUM(L5:L13)</f>
        <v>0</v>
      </c>
      <c r="M15" s="58"/>
      <c r="O15" s="189"/>
      <c r="P15" s="189"/>
      <c r="Q15" s="189"/>
      <c r="R15" s="189"/>
      <c r="S15" s="189"/>
      <c r="T15" s="189"/>
      <c r="U15" s="833" t="s">
        <v>1253</v>
      </c>
      <c r="V15" s="833"/>
      <c r="W15" s="58">
        <f>SUM(W5:W13)</f>
        <v>0</v>
      </c>
    </row>
    <row r="16" spans="3:23" ht="5.4" customHeight="1" x14ac:dyDescent="0.3">
      <c r="J16" t="str">
        <f>IF(OR($E$14="",I16=""),"",$E$14)</f>
        <v/>
      </c>
      <c r="P16" s="73"/>
    </row>
    <row r="17" spans="1:32" ht="12.75" customHeight="1" x14ac:dyDescent="0.4">
      <c r="B17" s="823" t="s">
        <v>354</v>
      </c>
      <c r="C17" s="823"/>
      <c r="D17" s="823"/>
      <c r="E17" s="823"/>
      <c r="F17" s="823"/>
      <c r="G17" s="823"/>
      <c r="H17" s="823"/>
      <c r="I17" s="823"/>
      <c r="J17" s="823"/>
      <c r="K17" s="823"/>
      <c r="L17" s="823"/>
      <c r="M17" s="823"/>
      <c r="N17" s="823"/>
      <c r="O17" s="823"/>
      <c r="P17" s="823"/>
      <c r="Q17" s="823"/>
      <c r="R17" s="823"/>
      <c r="S17" s="823"/>
      <c r="T17" s="823"/>
      <c r="U17" s="823"/>
      <c r="V17" s="823"/>
    </row>
    <row r="18" spans="1:32" ht="15.6" customHeight="1" x14ac:dyDescent="0.3">
      <c r="B18" s="33" t="s">
        <v>396</v>
      </c>
      <c r="C18" s="643" t="s">
        <v>355</v>
      </c>
      <c r="D18" s="643"/>
      <c r="E18" s="56" t="s">
        <v>5056</v>
      </c>
      <c r="F18" s="253" t="s">
        <v>356</v>
      </c>
      <c r="G18" s="253" t="s">
        <v>214</v>
      </c>
      <c r="H18" s="23"/>
      <c r="I18" s="33" t="s">
        <v>396</v>
      </c>
      <c r="J18" s="643" t="s">
        <v>357</v>
      </c>
      <c r="K18" s="643"/>
      <c r="L18" s="643"/>
      <c r="M18" s="56" t="s">
        <v>5056</v>
      </c>
      <c r="N18" s="253" t="s">
        <v>356</v>
      </c>
      <c r="O18" s="253" t="s">
        <v>214</v>
      </c>
      <c r="P18" s="23"/>
      <c r="Q18" s="33" t="s">
        <v>396</v>
      </c>
      <c r="R18" s="643" t="s">
        <v>358</v>
      </c>
      <c r="S18" s="643"/>
      <c r="T18" s="56" t="s">
        <v>5056</v>
      </c>
      <c r="U18" s="253" t="s">
        <v>356</v>
      </c>
      <c r="V18" s="253" t="s">
        <v>214</v>
      </c>
      <c r="AA18" s="23" t="s">
        <v>5058</v>
      </c>
      <c r="AB18" s="23" t="s">
        <v>5057</v>
      </c>
      <c r="AC18" s="23" t="s">
        <v>5059</v>
      </c>
      <c r="AD18" s="23" t="s">
        <v>5060</v>
      </c>
      <c r="AE18" s="23" t="s">
        <v>5061</v>
      </c>
      <c r="AF18" s="23" t="s">
        <v>5062</v>
      </c>
    </row>
    <row r="19" spans="1:32" ht="15.6" customHeight="1" x14ac:dyDescent="0.3">
      <c r="A19" s="23">
        <f>IF(B19="Chapeaux",1,IF(B19="Eclairage",2,IF(B19="Elixirs",3,IF(B19="Ecriture",4,IF(B19="Eq. Animaux",5,IF(B19="Mercerie",6,IF(B19="Mobilier",7,IF(B19="Munitions",8,IF(B19="Musique",9,IF(B19="Nourriture",10,IF(B19="Outils",11,IF(B19="Récipients",12,IF(B19="Religion",13,IF(B19="Survie",14,IF(B19="Trésors",15,IF(B19="Véhicules",16,IF(B19="Vêtements",17,IF(B19="Gadgets",18,0))))))))))))))))))</f>
        <v>0</v>
      </c>
      <c r="B19" s="86"/>
      <c r="C19" s="578"/>
      <c r="D19" s="578"/>
      <c r="E19" s="419"/>
      <c r="F19" s="197" t="str">
        <f>IF(C19="","",AA19*E19)</f>
        <v/>
      </c>
      <c r="G19" s="197" t="str">
        <f>IF(C19="","",AB19*E19)</f>
        <v/>
      </c>
      <c r="H19" s="23">
        <f>IF(I19="Chapeaux",1,IF(I19="Eclairage",2,IF(I19="Elixirs",3,IF(I19="Ecriture",4,IF(I19="Eq. Animaux",5,IF(I19="Mercerie",6,IF(I19="Mobilier",7,IF(I19="Munitions",8,IF(I19="Musique",9,IF(I19="Nourriture",10,IF(I19="Outils",11,IF(I19="Récipients",12,IF(I19="Religion",13,IF(I19="Survie",14,IF(I19="Trésors",15,IF(I19="Véhicules",16,IF(I19="Vêtements",17,IF(I19="Gadgets",18,0))))))))))))))))))</f>
        <v>0</v>
      </c>
      <c r="I19" s="86"/>
      <c r="J19" s="578"/>
      <c r="K19" s="578"/>
      <c r="L19" s="578"/>
      <c r="M19" s="419"/>
      <c r="N19" s="197" t="str">
        <f>IF(J19="","",AC19*M19)</f>
        <v/>
      </c>
      <c r="O19" s="197" t="str">
        <f>IF(J19="","",M19*AD19)</f>
        <v/>
      </c>
      <c r="P19" s="23">
        <f>IF(Q19="Chapeaux",1,IF(Q19="Eclairage",2,IF(Q19="Elixirs",3,IF(Q19="Ecriture",4,IF(Q19="Eq. Animaux",5,IF(Q19="Mercerie",6,IF(Q19="Mobilier",7,IF(Q19="Munitions",8,IF(Q19="Musique",9,IF(Q19="Nourriture",10,IF(Q19="Outils",11,IF(Q19="Récipients",12,IF(Q19="Religion",13,IF(Q19="Survie",14,IF(Q19="Trésors",15,IF(Q19="Véhicules",16,IF(Q19="Vêtements",17,IF(Q19="Gadgets",18,0))))))))))))))))))</f>
        <v>0</v>
      </c>
      <c r="Q19" s="86"/>
      <c r="R19" s="578"/>
      <c r="S19" s="578"/>
      <c r="T19" s="419"/>
      <c r="U19" s="197" t="str">
        <f>IF(R19="","",T19*AE19)</f>
        <v/>
      </c>
      <c r="V19" s="197" t="str">
        <f>IF(R19="","",T19*AF19)</f>
        <v/>
      </c>
      <c r="AA19" s="421" t="str">
        <f>IF(C19="","",VLOOKUP(C19,'General Store'!A:D,3,FALSE))</f>
        <v/>
      </c>
      <c r="AB19" s="421" t="str">
        <f>IF(C19="","",VLOOKUP(C19,'General Store'!A:D,4,FALSE))</f>
        <v/>
      </c>
      <c r="AC19" s="421" t="str">
        <f>IF(J19="","",VLOOKUP(J19,'General Store'!A:D,3,FALSE))</f>
        <v/>
      </c>
      <c r="AD19" s="421" t="str">
        <f>IF(J19="","",VLOOKUP(J19,'General Store'!A:D,4,FALSE))</f>
        <v/>
      </c>
      <c r="AE19" s="421" t="str">
        <f>IF(R19="","",VLOOKUP(R19,'General Store'!A:D,3,FALSE))</f>
        <v/>
      </c>
      <c r="AF19" s="421" t="str">
        <f>IF(R19="","",VLOOKUP(R19,'General Store'!A:D,4,FALSE))</f>
        <v/>
      </c>
    </row>
    <row r="20" spans="1:32" ht="15.6" customHeight="1" x14ac:dyDescent="0.3">
      <c r="A20" s="23">
        <f t="shared" ref="A20:A38" si="0">IF(B20="Chapeaux",1,IF(B20="Eclairage",2,IF(B20="Elixirs",3,IF(B20="Ecriture",4,IF(B20="Eq. Animaux",5,IF(B20="Mercerie",6,IF(B20="Mobilier",7,IF(B20="Munitions",8,IF(B20="Musique",9,IF(B20="Nourriture",10,IF(B20="Outils",11,IF(B20="Récipients",12,IF(B20="Religion",13,IF(B20="Survie",14,IF(B20="Trésors",15,IF(B20="Véhicules",16,IF(B20="Vêtements",17,IF(B20="Gadgets",18,0))))))))))))))))))</f>
        <v>0</v>
      </c>
      <c r="B20" s="86"/>
      <c r="C20" s="578"/>
      <c r="D20" s="578"/>
      <c r="E20" s="419"/>
      <c r="F20" s="197" t="str">
        <f t="shared" ref="F20:F39" si="1">IF(C20="","",AA20*E20)</f>
        <v/>
      </c>
      <c r="G20" s="197" t="str">
        <f t="shared" ref="G20:G39" si="2">IF(C20="","",AB20*E20)</f>
        <v/>
      </c>
      <c r="H20" s="23">
        <f t="shared" ref="H20:H33" si="3">IF(I20="Chapeaux",1,IF(I20="Eclairage",2,IF(I20="Elixirs",3,IF(I20="Ecriture",4,IF(I20="Eq. Animaux",5,IF(I20="Mercerie",6,IF(I20="Mobilier",7,IF(I20="Munitions",8,IF(I20="Musique",9,IF(I20="Nourriture",10,IF(I20="Outils",11,IF(I20="Récipients",12,IF(I20="Religion",13,IF(I20="Survie",14,IF(I20="Trésors",15,IF(I20="Véhicules",16,IF(I20="Vêtements",17,IF(I20="Gadgets",18,0))))))))))))))))))</f>
        <v>0</v>
      </c>
      <c r="I20" s="86"/>
      <c r="J20" s="578"/>
      <c r="K20" s="578"/>
      <c r="L20" s="578"/>
      <c r="M20" s="419"/>
      <c r="N20" s="197" t="str">
        <f t="shared" ref="N20:N33" si="4">IF(J20="","",AC20*M20)</f>
        <v/>
      </c>
      <c r="O20" s="197" t="str">
        <f t="shared" ref="O20:O33" si="5">IF(J20="","",M20*AD20)</f>
        <v/>
      </c>
      <c r="P20" s="23">
        <f t="shared" ref="P20:P33" si="6">IF(Q20="Chapeaux",1,IF(Q20="Eclairage",2,IF(Q20="Elixirs",3,IF(Q20="Ecriture",4,IF(Q20="Eq. Animaux",5,IF(Q20="Mercerie",6,IF(Q20="Mobilier",7,IF(Q20="Munitions",8,IF(Q20="Musique",9,IF(Q20="Nourriture",10,IF(Q20="Outils",11,IF(Q20="Récipients",12,IF(Q20="Religion",13,IF(Q20="Survie",14,IF(Q20="Trésors",15,IF(Q20="Véhicules",16,IF(Q20="Vêtements",17,IF(Q20="Gadgets",18,0))))))))))))))))))</f>
        <v>0</v>
      </c>
      <c r="Q20" s="86"/>
      <c r="R20" s="578"/>
      <c r="S20" s="578"/>
      <c r="T20" s="419"/>
      <c r="U20" s="197" t="str">
        <f t="shared" ref="U20:U33" si="7">IF(R20="","",T20*AE20)</f>
        <v/>
      </c>
      <c r="V20" s="197" t="str">
        <f t="shared" ref="V20:V33" si="8">IF(R20="","",T20*AF20)</f>
        <v/>
      </c>
      <c r="AA20" s="421" t="str">
        <f>IF(C20="","",VLOOKUP(C20,'General Store'!A:D,3,FALSE))</f>
        <v/>
      </c>
      <c r="AB20" s="421" t="str">
        <f>IF(C20="","",VLOOKUP(C20,'General Store'!A:D,4,FALSE))</f>
        <v/>
      </c>
      <c r="AC20" s="421" t="str">
        <f>IF(J20="","",VLOOKUP(J20,'General Store'!A:D,3,FALSE))</f>
        <v/>
      </c>
      <c r="AD20" s="421" t="str">
        <f>IF(J20="","",VLOOKUP(J20,'General Store'!A:D,4,FALSE))</f>
        <v/>
      </c>
      <c r="AE20" s="421" t="str">
        <f>IF(R20="","",VLOOKUP(R20,'General Store'!A:D,3,FALSE))</f>
        <v/>
      </c>
      <c r="AF20" s="421" t="str">
        <f>IF(R20="","",VLOOKUP(R20,'General Store'!A:D,4,FALSE))</f>
        <v/>
      </c>
    </row>
    <row r="21" spans="1:32" ht="15.6" customHeight="1" x14ac:dyDescent="0.3">
      <c r="A21" s="23">
        <f t="shared" si="0"/>
        <v>0</v>
      </c>
      <c r="B21" s="86"/>
      <c r="C21" s="578"/>
      <c r="D21" s="578"/>
      <c r="E21" s="419"/>
      <c r="F21" s="197" t="str">
        <f t="shared" si="1"/>
        <v/>
      </c>
      <c r="G21" s="197" t="str">
        <f t="shared" si="2"/>
        <v/>
      </c>
      <c r="H21" s="23">
        <f t="shared" si="3"/>
        <v>0</v>
      </c>
      <c r="I21" s="86"/>
      <c r="J21" s="578"/>
      <c r="K21" s="578"/>
      <c r="L21" s="578"/>
      <c r="M21" s="419"/>
      <c r="N21" s="197" t="str">
        <f t="shared" si="4"/>
        <v/>
      </c>
      <c r="O21" s="197" t="str">
        <f t="shared" si="5"/>
        <v/>
      </c>
      <c r="P21" s="23">
        <f t="shared" si="6"/>
        <v>0</v>
      </c>
      <c r="Q21" s="86"/>
      <c r="R21" s="578"/>
      <c r="S21" s="578"/>
      <c r="T21" s="419"/>
      <c r="U21" s="197" t="str">
        <f t="shared" si="7"/>
        <v/>
      </c>
      <c r="V21" s="197" t="str">
        <f t="shared" si="8"/>
        <v/>
      </c>
      <c r="AA21" s="421" t="str">
        <f>IF(C21="","",VLOOKUP(C21,'General Store'!A:D,3,FALSE))</f>
        <v/>
      </c>
      <c r="AB21" s="421" t="str">
        <f>IF(C21="","",VLOOKUP(C21,'General Store'!A:D,4,FALSE))</f>
        <v/>
      </c>
      <c r="AC21" s="421" t="str">
        <f>IF(J21="","",VLOOKUP(J21,'General Store'!A:D,3,FALSE))</f>
        <v/>
      </c>
      <c r="AD21" s="421" t="str">
        <f>IF(J21="","",VLOOKUP(J21,'General Store'!A:D,4,FALSE))</f>
        <v/>
      </c>
      <c r="AE21" s="421" t="str">
        <f>IF(R21="","",VLOOKUP(R21,'General Store'!A:D,3,FALSE))</f>
        <v/>
      </c>
      <c r="AF21" s="421" t="str">
        <f>IF(R21="","",VLOOKUP(R21,'General Store'!A:D,4,FALSE))</f>
        <v/>
      </c>
    </row>
    <row r="22" spans="1:32" ht="15.6" customHeight="1" x14ac:dyDescent="0.3">
      <c r="A22" s="23">
        <f t="shared" si="0"/>
        <v>0</v>
      </c>
      <c r="B22" s="86"/>
      <c r="C22" s="578"/>
      <c r="D22" s="578"/>
      <c r="E22" s="419"/>
      <c r="F22" s="197" t="str">
        <f t="shared" si="1"/>
        <v/>
      </c>
      <c r="G22" s="197" t="str">
        <f t="shared" si="2"/>
        <v/>
      </c>
      <c r="H22" s="23">
        <f t="shared" si="3"/>
        <v>0</v>
      </c>
      <c r="I22" s="86"/>
      <c r="J22" s="578"/>
      <c r="K22" s="578"/>
      <c r="L22" s="578"/>
      <c r="M22" s="419"/>
      <c r="N22" s="197" t="str">
        <f t="shared" si="4"/>
        <v/>
      </c>
      <c r="O22" s="197" t="str">
        <f t="shared" si="5"/>
        <v/>
      </c>
      <c r="P22" s="23">
        <f t="shared" si="6"/>
        <v>0</v>
      </c>
      <c r="Q22" s="86"/>
      <c r="R22" s="578"/>
      <c r="S22" s="578"/>
      <c r="T22" s="419"/>
      <c r="U22" s="197" t="str">
        <f t="shared" si="7"/>
        <v/>
      </c>
      <c r="V22" s="197" t="str">
        <f t="shared" si="8"/>
        <v/>
      </c>
      <c r="AA22" s="421" t="str">
        <f>IF(C22="","",VLOOKUP(C22,'General Store'!A:D,3,FALSE))</f>
        <v/>
      </c>
      <c r="AB22" s="421" t="str">
        <f>IF(C22="","",VLOOKUP(C22,'General Store'!A:D,4,FALSE))</f>
        <v/>
      </c>
      <c r="AC22" s="421" t="str">
        <f>IF(J22="","",VLOOKUP(J22,'General Store'!A:D,3,FALSE))</f>
        <v/>
      </c>
      <c r="AD22" s="421" t="str">
        <f>IF(J22="","",VLOOKUP(J22,'General Store'!A:D,4,FALSE))</f>
        <v/>
      </c>
      <c r="AE22" s="421" t="str">
        <f>IF(R22="","",VLOOKUP(R22,'General Store'!A:D,3,FALSE))</f>
        <v/>
      </c>
      <c r="AF22" s="421" t="str">
        <f>IF(R22="","",VLOOKUP(R22,'General Store'!A:D,4,FALSE))</f>
        <v/>
      </c>
    </row>
    <row r="23" spans="1:32" ht="15.6" customHeight="1" x14ac:dyDescent="0.3">
      <c r="A23" s="23">
        <f t="shared" si="0"/>
        <v>0</v>
      </c>
      <c r="B23" s="86"/>
      <c r="C23" s="578"/>
      <c r="D23" s="578"/>
      <c r="E23" s="419"/>
      <c r="F23" s="197" t="str">
        <f t="shared" si="1"/>
        <v/>
      </c>
      <c r="G23" s="197" t="str">
        <f t="shared" si="2"/>
        <v/>
      </c>
      <c r="H23" s="23">
        <f t="shared" si="3"/>
        <v>0</v>
      </c>
      <c r="I23" s="86"/>
      <c r="J23" s="578"/>
      <c r="K23" s="578"/>
      <c r="L23" s="578"/>
      <c r="M23" s="419"/>
      <c r="N23" s="197" t="str">
        <f t="shared" si="4"/>
        <v/>
      </c>
      <c r="O23" s="197" t="str">
        <f t="shared" si="5"/>
        <v/>
      </c>
      <c r="P23" s="23">
        <f t="shared" si="6"/>
        <v>0</v>
      </c>
      <c r="Q23" s="86"/>
      <c r="R23" s="578"/>
      <c r="S23" s="578"/>
      <c r="T23" s="419"/>
      <c r="U23" s="197" t="str">
        <f t="shared" si="7"/>
        <v/>
      </c>
      <c r="V23" s="197" t="str">
        <f t="shared" si="8"/>
        <v/>
      </c>
      <c r="AA23" s="421" t="str">
        <f>IF(C23="","",VLOOKUP(C23,'General Store'!A:D,3,FALSE))</f>
        <v/>
      </c>
      <c r="AB23" s="421" t="str">
        <f>IF(C23="","",VLOOKUP(C23,'General Store'!A:D,4,FALSE))</f>
        <v/>
      </c>
      <c r="AC23" s="421" t="str">
        <f>IF(J23="","",VLOOKUP(J23,'General Store'!A:D,3,FALSE))</f>
        <v/>
      </c>
      <c r="AD23" s="421" t="str">
        <f>IF(J23="","",VLOOKUP(J23,'General Store'!A:D,4,FALSE))</f>
        <v/>
      </c>
      <c r="AE23" s="421" t="str">
        <f>IF(R23="","",VLOOKUP(R23,'General Store'!A:D,3,FALSE))</f>
        <v/>
      </c>
      <c r="AF23" s="421" t="str">
        <f>IF(R23="","",VLOOKUP(R23,'General Store'!A:D,4,FALSE))</f>
        <v/>
      </c>
    </row>
    <row r="24" spans="1:32" ht="15.6" customHeight="1" x14ac:dyDescent="0.3">
      <c r="A24" s="23">
        <f t="shared" si="0"/>
        <v>0</v>
      </c>
      <c r="B24" s="86"/>
      <c r="C24" s="578"/>
      <c r="D24" s="578"/>
      <c r="E24" s="419"/>
      <c r="F24" s="197" t="str">
        <f t="shared" si="1"/>
        <v/>
      </c>
      <c r="G24" s="197" t="str">
        <f t="shared" si="2"/>
        <v/>
      </c>
      <c r="H24" s="23">
        <f t="shared" si="3"/>
        <v>0</v>
      </c>
      <c r="I24" s="86"/>
      <c r="J24" s="578"/>
      <c r="K24" s="578"/>
      <c r="L24" s="578"/>
      <c r="M24" s="419"/>
      <c r="N24" s="197" t="str">
        <f t="shared" si="4"/>
        <v/>
      </c>
      <c r="O24" s="197" t="str">
        <f t="shared" si="5"/>
        <v/>
      </c>
      <c r="P24" s="23">
        <f t="shared" si="6"/>
        <v>0</v>
      </c>
      <c r="Q24" s="86"/>
      <c r="R24" s="578"/>
      <c r="S24" s="578"/>
      <c r="T24" s="419"/>
      <c r="U24" s="197" t="str">
        <f t="shared" si="7"/>
        <v/>
      </c>
      <c r="V24" s="197" t="str">
        <f t="shared" si="8"/>
        <v/>
      </c>
      <c r="AA24" s="421" t="str">
        <f>IF(C24="","",VLOOKUP(C24,'General Store'!A:D,3,FALSE))</f>
        <v/>
      </c>
      <c r="AB24" s="421" t="str">
        <f>IF(C24="","",VLOOKUP(C24,'General Store'!A:D,4,FALSE))</f>
        <v/>
      </c>
      <c r="AC24" s="421" t="str">
        <f>IF(J24="","",VLOOKUP(J24,'General Store'!A:D,3,FALSE))</f>
        <v/>
      </c>
      <c r="AD24" s="421" t="str">
        <f>IF(J24="","",VLOOKUP(J24,'General Store'!A:D,4,FALSE))</f>
        <v/>
      </c>
      <c r="AE24" s="421" t="str">
        <f>IF(R24="","",VLOOKUP(R24,'General Store'!A:D,3,FALSE))</f>
        <v/>
      </c>
      <c r="AF24" s="421" t="str">
        <f>IF(R24="","",VLOOKUP(R24,'General Store'!A:D,4,FALSE))</f>
        <v/>
      </c>
    </row>
    <row r="25" spans="1:32" ht="15.6" customHeight="1" x14ac:dyDescent="0.3">
      <c r="A25" s="23">
        <f t="shared" si="0"/>
        <v>0</v>
      </c>
      <c r="B25" s="122"/>
      <c r="C25" s="578"/>
      <c r="D25" s="578"/>
      <c r="E25" s="419"/>
      <c r="F25" s="197" t="str">
        <f t="shared" si="1"/>
        <v/>
      </c>
      <c r="G25" s="197" t="str">
        <f t="shared" si="2"/>
        <v/>
      </c>
      <c r="H25" s="23">
        <f t="shared" si="3"/>
        <v>0</v>
      </c>
      <c r="I25" s="86"/>
      <c r="J25" s="578"/>
      <c r="K25" s="578"/>
      <c r="L25" s="578"/>
      <c r="M25" s="419"/>
      <c r="N25" s="197" t="str">
        <f t="shared" si="4"/>
        <v/>
      </c>
      <c r="O25" s="197" t="str">
        <f t="shared" si="5"/>
        <v/>
      </c>
      <c r="P25" s="23">
        <f t="shared" si="6"/>
        <v>0</v>
      </c>
      <c r="Q25" s="86"/>
      <c r="R25" s="578"/>
      <c r="S25" s="578"/>
      <c r="T25" s="419"/>
      <c r="U25" s="197" t="str">
        <f t="shared" si="7"/>
        <v/>
      </c>
      <c r="V25" s="197" t="str">
        <f t="shared" si="8"/>
        <v/>
      </c>
      <c r="AA25" s="421" t="str">
        <f>IF(C25="","",VLOOKUP(C25,'General Store'!A:D,3,FALSE))</f>
        <v/>
      </c>
      <c r="AB25" s="421" t="str">
        <f>IF(C25="","",VLOOKUP(C25,'General Store'!A:D,4,FALSE))</f>
        <v/>
      </c>
      <c r="AC25" s="421" t="str">
        <f>IF(J25="","",VLOOKUP(J25,'General Store'!A:D,3,FALSE))</f>
        <v/>
      </c>
      <c r="AD25" s="421" t="str">
        <f>IF(J25="","",VLOOKUP(J25,'General Store'!A:D,4,FALSE))</f>
        <v/>
      </c>
      <c r="AE25" s="421" t="str">
        <f>IF(R25="","",VLOOKUP(R25,'General Store'!A:D,3,FALSE))</f>
        <v/>
      </c>
      <c r="AF25" s="421" t="str">
        <f>IF(R25="","",VLOOKUP(R25,'General Store'!A:D,4,FALSE))</f>
        <v/>
      </c>
    </row>
    <row r="26" spans="1:32" ht="15.6" customHeight="1" x14ac:dyDescent="0.3">
      <c r="A26" s="23">
        <f t="shared" si="0"/>
        <v>0</v>
      </c>
      <c r="B26" s="86"/>
      <c r="C26" s="578"/>
      <c r="D26" s="578"/>
      <c r="E26" s="419"/>
      <c r="F26" s="197" t="str">
        <f t="shared" si="1"/>
        <v/>
      </c>
      <c r="G26" s="197" t="str">
        <f t="shared" si="2"/>
        <v/>
      </c>
      <c r="H26" s="23">
        <f t="shared" si="3"/>
        <v>0</v>
      </c>
      <c r="I26" s="86"/>
      <c r="J26" s="578"/>
      <c r="K26" s="578"/>
      <c r="L26" s="578"/>
      <c r="M26" s="419"/>
      <c r="N26" s="197" t="str">
        <f t="shared" si="4"/>
        <v/>
      </c>
      <c r="O26" s="197" t="str">
        <f t="shared" si="5"/>
        <v/>
      </c>
      <c r="P26" s="23">
        <f t="shared" si="6"/>
        <v>0</v>
      </c>
      <c r="Q26" s="86"/>
      <c r="R26" s="578"/>
      <c r="S26" s="578"/>
      <c r="T26" s="419"/>
      <c r="U26" s="197" t="str">
        <f t="shared" si="7"/>
        <v/>
      </c>
      <c r="V26" s="197" t="str">
        <f t="shared" si="8"/>
        <v/>
      </c>
      <c r="AA26" s="421" t="str">
        <f>IF(C26="","",VLOOKUP(C26,'General Store'!A:D,3,FALSE))</f>
        <v/>
      </c>
      <c r="AB26" s="421" t="str">
        <f>IF(C26="","",VLOOKUP(C26,'General Store'!A:D,4,FALSE))</f>
        <v/>
      </c>
      <c r="AC26" s="421" t="str">
        <f>IF(J26="","",VLOOKUP(J26,'General Store'!A:D,3,FALSE))</f>
        <v/>
      </c>
      <c r="AD26" s="421" t="str">
        <f>IF(J26="","",VLOOKUP(J26,'General Store'!A:D,4,FALSE))</f>
        <v/>
      </c>
      <c r="AE26" s="421" t="str">
        <f>IF(R26="","",VLOOKUP(R26,'General Store'!A:D,3,FALSE))</f>
        <v/>
      </c>
      <c r="AF26" s="421" t="str">
        <f>IF(R26="","",VLOOKUP(R26,'General Store'!A:D,4,FALSE))</f>
        <v/>
      </c>
    </row>
    <row r="27" spans="1:32" ht="15.6" customHeight="1" x14ac:dyDescent="0.3">
      <c r="A27" s="23">
        <f t="shared" si="0"/>
        <v>0</v>
      </c>
      <c r="B27" s="86"/>
      <c r="C27" s="578"/>
      <c r="D27" s="578"/>
      <c r="E27" s="419"/>
      <c r="F27" s="197" t="str">
        <f t="shared" si="1"/>
        <v/>
      </c>
      <c r="G27" s="197" t="str">
        <f t="shared" si="2"/>
        <v/>
      </c>
      <c r="H27" s="23">
        <f t="shared" si="3"/>
        <v>0</v>
      </c>
      <c r="I27" s="86"/>
      <c r="J27" s="578"/>
      <c r="K27" s="578"/>
      <c r="L27" s="578"/>
      <c r="M27" s="419"/>
      <c r="N27" s="197" t="str">
        <f t="shared" si="4"/>
        <v/>
      </c>
      <c r="O27" s="197" t="str">
        <f t="shared" si="5"/>
        <v/>
      </c>
      <c r="P27" s="23">
        <f t="shared" si="6"/>
        <v>0</v>
      </c>
      <c r="Q27" s="86"/>
      <c r="R27" s="578"/>
      <c r="S27" s="578"/>
      <c r="T27" s="419"/>
      <c r="U27" s="197" t="str">
        <f t="shared" si="7"/>
        <v/>
      </c>
      <c r="V27" s="197" t="str">
        <f t="shared" si="8"/>
        <v/>
      </c>
      <c r="AA27" s="421" t="str">
        <f>IF(C27="","",VLOOKUP(C27,'General Store'!A:D,3,FALSE))</f>
        <v/>
      </c>
      <c r="AB27" s="421" t="str">
        <f>IF(C27="","",VLOOKUP(C27,'General Store'!A:D,4,FALSE))</f>
        <v/>
      </c>
      <c r="AC27" s="421" t="str">
        <f>IF(J27="","",VLOOKUP(J27,'General Store'!A:D,3,FALSE))</f>
        <v/>
      </c>
      <c r="AD27" s="421" t="str">
        <f>IF(J27="","",VLOOKUP(J27,'General Store'!A:D,4,FALSE))</f>
        <v/>
      </c>
      <c r="AE27" s="421" t="str">
        <f>IF(R27="","",VLOOKUP(R27,'General Store'!A:D,3,FALSE))</f>
        <v/>
      </c>
      <c r="AF27" s="421" t="str">
        <f>IF(R27="","",VLOOKUP(R27,'General Store'!A:D,4,FALSE))</f>
        <v/>
      </c>
    </row>
    <row r="28" spans="1:32" ht="15.6" customHeight="1" x14ac:dyDescent="0.3">
      <c r="A28" s="23">
        <f t="shared" si="0"/>
        <v>0</v>
      </c>
      <c r="B28" s="86"/>
      <c r="C28" s="578"/>
      <c r="D28" s="578"/>
      <c r="E28" s="419"/>
      <c r="F28" s="197" t="str">
        <f t="shared" si="1"/>
        <v/>
      </c>
      <c r="G28" s="197" t="str">
        <f t="shared" si="2"/>
        <v/>
      </c>
      <c r="H28" s="23">
        <f t="shared" si="3"/>
        <v>0</v>
      </c>
      <c r="I28" s="86"/>
      <c r="J28" s="578"/>
      <c r="K28" s="578"/>
      <c r="L28" s="578"/>
      <c r="M28" s="419"/>
      <c r="N28" s="197" t="str">
        <f t="shared" si="4"/>
        <v/>
      </c>
      <c r="O28" s="197" t="str">
        <f t="shared" si="5"/>
        <v/>
      </c>
      <c r="P28" s="23">
        <f t="shared" si="6"/>
        <v>0</v>
      </c>
      <c r="Q28" s="86"/>
      <c r="R28" s="578"/>
      <c r="S28" s="578"/>
      <c r="T28" s="419"/>
      <c r="U28" s="197" t="str">
        <f t="shared" si="7"/>
        <v/>
      </c>
      <c r="V28" s="197" t="str">
        <f t="shared" si="8"/>
        <v/>
      </c>
      <c r="AA28" s="421" t="str">
        <f>IF(C28="","",VLOOKUP(C28,'General Store'!A:D,3,FALSE))</f>
        <v/>
      </c>
      <c r="AB28" s="421" t="str">
        <f>IF(C28="","",VLOOKUP(C28,'General Store'!A:D,4,FALSE))</f>
        <v/>
      </c>
      <c r="AC28" s="421" t="str">
        <f>IF(J28="","",VLOOKUP(J28,'General Store'!A:D,3,FALSE))</f>
        <v/>
      </c>
      <c r="AD28" s="421" t="str">
        <f>IF(J28="","",VLOOKUP(J28,'General Store'!A:D,4,FALSE))</f>
        <v/>
      </c>
      <c r="AE28" s="421" t="str">
        <f>IF(R28="","",VLOOKUP(R28,'General Store'!A:D,3,FALSE))</f>
        <v/>
      </c>
      <c r="AF28" s="421" t="str">
        <f>IF(R28="","",VLOOKUP(R28,'General Store'!A:D,4,FALSE))</f>
        <v/>
      </c>
    </row>
    <row r="29" spans="1:32" ht="15.6" customHeight="1" x14ac:dyDescent="0.3">
      <c r="A29" s="23">
        <f t="shared" si="0"/>
        <v>0</v>
      </c>
      <c r="B29" s="86"/>
      <c r="C29" s="578"/>
      <c r="D29" s="578"/>
      <c r="E29" s="419"/>
      <c r="F29" s="197" t="str">
        <f t="shared" si="1"/>
        <v/>
      </c>
      <c r="G29" s="197" t="str">
        <f t="shared" si="2"/>
        <v/>
      </c>
      <c r="H29" s="23">
        <f t="shared" si="3"/>
        <v>0</v>
      </c>
      <c r="I29" s="86"/>
      <c r="J29" s="578"/>
      <c r="K29" s="578"/>
      <c r="L29" s="578"/>
      <c r="M29" s="419"/>
      <c r="N29" s="197" t="str">
        <f t="shared" si="4"/>
        <v/>
      </c>
      <c r="O29" s="197" t="str">
        <f t="shared" si="5"/>
        <v/>
      </c>
      <c r="P29" s="23">
        <f t="shared" si="6"/>
        <v>0</v>
      </c>
      <c r="Q29" s="86"/>
      <c r="R29" s="578"/>
      <c r="S29" s="578"/>
      <c r="T29" s="419"/>
      <c r="U29" s="197" t="str">
        <f t="shared" si="7"/>
        <v/>
      </c>
      <c r="V29" s="197" t="str">
        <f t="shared" si="8"/>
        <v/>
      </c>
      <c r="AA29" s="421" t="str">
        <f>IF(C29="","",VLOOKUP(C29,'General Store'!A:D,3,FALSE))</f>
        <v/>
      </c>
      <c r="AB29" s="421" t="str">
        <f>IF(C29="","",VLOOKUP(C29,'General Store'!A:D,4,FALSE))</f>
        <v/>
      </c>
      <c r="AC29" s="421" t="str">
        <f>IF(J29="","",VLOOKUP(J29,'General Store'!A:D,3,FALSE))</f>
        <v/>
      </c>
      <c r="AD29" s="421" t="str">
        <f>IF(J29="","",VLOOKUP(J29,'General Store'!A:D,4,FALSE))</f>
        <v/>
      </c>
      <c r="AE29" s="421" t="str">
        <f>IF(R29="","",VLOOKUP(R29,'General Store'!A:D,3,FALSE))</f>
        <v/>
      </c>
      <c r="AF29" s="421" t="str">
        <f>IF(R29="","",VLOOKUP(R29,'General Store'!A:D,4,FALSE))</f>
        <v/>
      </c>
    </row>
    <row r="30" spans="1:32" ht="15.6" customHeight="1" x14ac:dyDescent="0.3">
      <c r="A30" s="23">
        <f t="shared" si="0"/>
        <v>0</v>
      </c>
      <c r="B30" s="86"/>
      <c r="C30" s="578"/>
      <c r="D30" s="578"/>
      <c r="E30" s="419"/>
      <c r="F30" s="197" t="str">
        <f t="shared" si="1"/>
        <v/>
      </c>
      <c r="G30" s="197" t="str">
        <f t="shared" si="2"/>
        <v/>
      </c>
      <c r="H30" s="23">
        <f t="shared" si="3"/>
        <v>0</v>
      </c>
      <c r="I30" s="86"/>
      <c r="J30" s="578"/>
      <c r="K30" s="578"/>
      <c r="L30" s="578"/>
      <c r="M30" s="419"/>
      <c r="N30" s="197" t="str">
        <f t="shared" si="4"/>
        <v/>
      </c>
      <c r="O30" s="197" t="str">
        <f t="shared" si="5"/>
        <v/>
      </c>
      <c r="P30" s="23">
        <f t="shared" si="6"/>
        <v>0</v>
      </c>
      <c r="Q30" s="86"/>
      <c r="R30" s="578"/>
      <c r="S30" s="578"/>
      <c r="T30" s="419"/>
      <c r="U30" s="197" t="str">
        <f t="shared" si="7"/>
        <v/>
      </c>
      <c r="V30" s="197" t="str">
        <f t="shared" si="8"/>
        <v/>
      </c>
      <c r="AA30" s="421" t="str">
        <f>IF(C30="","",VLOOKUP(C30,'General Store'!A:D,3,FALSE))</f>
        <v/>
      </c>
      <c r="AB30" s="421" t="str">
        <f>IF(C30="","",VLOOKUP(C30,'General Store'!A:D,4,FALSE))</f>
        <v/>
      </c>
      <c r="AC30" s="421" t="str">
        <f>IF(J30="","",VLOOKUP(J30,'General Store'!A:D,3,FALSE))</f>
        <v/>
      </c>
      <c r="AD30" s="421" t="str">
        <f>IF(J30="","",VLOOKUP(J30,'General Store'!A:D,4,FALSE))</f>
        <v/>
      </c>
      <c r="AE30" s="421" t="str">
        <f>IF(R30="","",VLOOKUP(R30,'General Store'!A:D,3,FALSE))</f>
        <v/>
      </c>
      <c r="AF30" s="421" t="str">
        <f>IF(R30="","",VLOOKUP(R30,'General Store'!A:D,4,FALSE))</f>
        <v/>
      </c>
    </row>
    <row r="31" spans="1:32" ht="15.6" customHeight="1" x14ac:dyDescent="0.3">
      <c r="A31" s="23">
        <f t="shared" si="0"/>
        <v>0</v>
      </c>
      <c r="B31" s="86"/>
      <c r="C31" s="578"/>
      <c r="D31" s="578"/>
      <c r="E31" s="419"/>
      <c r="F31" s="197" t="str">
        <f t="shared" si="1"/>
        <v/>
      </c>
      <c r="G31" s="197" t="str">
        <f t="shared" si="2"/>
        <v/>
      </c>
      <c r="H31" s="23">
        <f t="shared" si="3"/>
        <v>0</v>
      </c>
      <c r="I31" s="86"/>
      <c r="J31" s="578"/>
      <c r="K31" s="578"/>
      <c r="L31" s="578"/>
      <c r="M31" s="419"/>
      <c r="N31" s="197" t="str">
        <f t="shared" si="4"/>
        <v/>
      </c>
      <c r="O31" s="197" t="str">
        <f t="shared" si="5"/>
        <v/>
      </c>
      <c r="P31" s="23">
        <f t="shared" si="6"/>
        <v>0</v>
      </c>
      <c r="Q31" s="86"/>
      <c r="R31" s="578"/>
      <c r="S31" s="578"/>
      <c r="T31" s="419"/>
      <c r="U31" s="197" t="str">
        <f t="shared" si="7"/>
        <v/>
      </c>
      <c r="V31" s="197" t="str">
        <f t="shared" si="8"/>
        <v/>
      </c>
      <c r="AA31" s="421" t="str">
        <f>IF(C31="","",VLOOKUP(C31,'General Store'!A:D,3,FALSE))</f>
        <v/>
      </c>
      <c r="AB31" s="421" t="str">
        <f>IF(C31="","",VLOOKUP(C31,'General Store'!A:D,4,FALSE))</f>
        <v/>
      </c>
      <c r="AC31" s="421" t="str">
        <f>IF(J31="","",VLOOKUP(J31,'General Store'!A:D,3,FALSE))</f>
        <v/>
      </c>
      <c r="AD31" s="421" t="str">
        <f>IF(J31="","",VLOOKUP(J31,'General Store'!A:D,4,FALSE))</f>
        <v/>
      </c>
      <c r="AE31" s="421" t="str">
        <f>IF(R31="","",VLOOKUP(R31,'General Store'!A:D,3,FALSE))</f>
        <v/>
      </c>
      <c r="AF31" s="421" t="str">
        <f>IF(R31="","",VLOOKUP(R31,'General Store'!A:D,4,FALSE))</f>
        <v/>
      </c>
    </row>
    <row r="32" spans="1:32" ht="15.6" customHeight="1" x14ac:dyDescent="0.3">
      <c r="A32" s="23">
        <f t="shared" si="0"/>
        <v>0</v>
      </c>
      <c r="B32" s="86"/>
      <c r="C32" s="578"/>
      <c r="D32" s="578"/>
      <c r="E32" s="419"/>
      <c r="F32" s="197" t="str">
        <f t="shared" si="1"/>
        <v/>
      </c>
      <c r="G32" s="197" t="str">
        <f t="shared" si="2"/>
        <v/>
      </c>
      <c r="H32" s="23">
        <f t="shared" si="3"/>
        <v>0</v>
      </c>
      <c r="I32" s="86"/>
      <c r="J32" s="578"/>
      <c r="K32" s="578"/>
      <c r="L32" s="578"/>
      <c r="M32" s="419"/>
      <c r="N32" s="197" t="str">
        <f t="shared" si="4"/>
        <v/>
      </c>
      <c r="O32" s="197" t="str">
        <f t="shared" si="5"/>
        <v/>
      </c>
      <c r="P32" s="23">
        <f t="shared" si="6"/>
        <v>0</v>
      </c>
      <c r="Q32" s="86"/>
      <c r="R32" s="578"/>
      <c r="S32" s="578"/>
      <c r="T32" s="419"/>
      <c r="U32" s="197" t="str">
        <f t="shared" si="7"/>
        <v/>
      </c>
      <c r="V32" s="197" t="str">
        <f t="shared" si="8"/>
        <v/>
      </c>
      <c r="AA32" s="421" t="str">
        <f>IF(C32="","",VLOOKUP(C32,'General Store'!A:D,3,FALSE))</f>
        <v/>
      </c>
      <c r="AB32" s="421" t="str">
        <f>IF(C32="","",VLOOKUP(C32,'General Store'!A:D,4,FALSE))</f>
        <v/>
      </c>
      <c r="AC32" s="421" t="str">
        <f>IF(J32="","",VLOOKUP(J32,'General Store'!A:D,3,FALSE))</f>
        <v/>
      </c>
      <c r="AD32" s="421" t="str">
        <f>IF(J32="","",VLOOKUP(J32,'General Store'!A:D,4,FALSE))</f>
        <v/>
      </c>
      <c r="AE32" s="421" t="str">
        <f>IF(R32="","",VLOOKUP(R32,'General Store'!A:D,3,FALSE))</f>
        <v/>
      </c>
      <c r="AF32" s="421" t="str">
        <f>IF(R32="","",VLOOKUP(R32,'General Store'!A:D,4,FALSE))</f>
        <v/>
      </c>
    </row>
    <row r="33" spans="1:32" ht="15.6" customHeight="1" x14ac:dyDescent="0.3">
      <c r="A33" s="23">
        <f t="shared" si="0"/>
        <v>0</v>
      </c>
      <c r="B33" s="86"/>
      <c r="C33" s="578"/>
      <c r="D33" s="578"/>
      <c r="E33" s="419"/>
      <c r="F33" s="197" t="str">
        <f t="shared" si="1"/>
        <v/>
      </c>
      <c r="G33" s="197" t="str">
        <f t="shared" si="2"/>
        <v/>
      </c>
      <c r="H33" s="23">
        <f t="shared" si="3"/>
        <v>0</v>
      </c>
      <c r="I33" s="86"/>
      <c r="J33" s="578"/>
      <c r="K33" s="578"/>
      <c r="L33" s="578"/>
      <c r="M33" s="419"/>
      <c r="N33" s="197" t="str">
        <f t="shared" si="4"/>
        <v/>
      </c>
      <c r="O33" s="197" t="str">
        <f t="shared" si="5"/>
        <v/>
      </c>
      <c r="P33" s="23">
        <f t="shared" si="6"/>
        <v>0</v>
      </c>
      <c r="Q33" s="86"/>
      <c r="R33" s="578"/>
      <c r="S33" s="578"/>
      <c r="T33" s="419"/>
      <c r="U33" s="197" t="str">
        <f t="shared" si="7"/>
        <v/>
      </c>
      <c r="V33" s="197" t="str">
        <f t="shared" si="8"/>
        <v/>
      </c>
      <c r="AA33" s="421" t="str">
        <f>IF(C33="","",VLOOKUP(C33,'General Store'!A:D,3,FALSE))</f>
        <v/>
      </c>
      <c r="AB33" s="421" t="str">
        <f>IF(C33="","",VLOOKUP(C33,'General Store'!A:D,4,FALSE))</f>
        <v/>
      </c>
      <c r="AC33" s="421" t="str">
        <f>IF(J33="","",VLOOKUP(J33,'General Store'!A:D,3,FALSE))</f>
        <v/>
      </c>
      <c r="AD33" s="421" t="str">
        <f>IF(J33="","",VLOOKUP(J33,'General Store'!A:D,4,FALSE))</f>
        <v/>
      </c>
      <c r="AE33" s="421" t="str">
        <f>IF(R33="","",VLOOKUP(R33,'General Store'!A:D,3,FALSE))</f>
        <v/>
      </c>
      <c r="AF33" s="421" t="str">
        <f>IF(R33="","",VLOOKUP(R33,'General Store'!A:D,4,FALSE))</f>
        <v/>
      </c>
    </row>
    <row r="34" spans="1:32" ht="15.6" customHeight="1" thickBot="1" x14ac:dyDescent="0.35">
      <c r="A34" s="23">
        <f t="shared" si="0"/>
        <v>0</v>
      </c>
      <c r="B34" s="86"/>
      <c r="C34" s="578"/>
      <c r="D34" s="578"/>
      <c r="E34" s="419"/>
      <c r="F34" s="197" t="str">
        <f t="shared" si="1"/>
        <v/>
      </c>
      <c r="G34" s="197" t="str">
        <f t="shared" si="2"/>
        <v/>
      </c>
      <c r="J34" s="160" t="s">
        <v>4038</v>
      </c>
      <c r="K34" s="160"/>
      <c r="L34" s="160"/>
      <c r="M34" s="420"/>
      <c r="N34" s="161"/>
      <c r="R34" s="552"/>
      <c r="S34" s="552"/>
      <c r="T34" s="1"/>
      <c r="AA34" s="421" t="str">
        <f>IF(C34="","",VLOOKUP(C34,'General Store'!A:D,3,FALSE))</f>
        <v/>
      </c>
      <c r="AB34" s="421" t="str">
        <f>IF(C34="","",VLOOKUP(C34,'General Store'!A:D,4,FALSE))</f>
        <v/>
      </c>
      <c r="AC34" s="22"/>
      <c r="AD34" s="22"/>
      <c r="AE34" s="22"/>
      <c r="AF34" s="22"/>
    </row>
    <row r="35" spans="1:32" ht="15.6" customHeight="1" thickBot="1" x14ac:dyDescent="0.45">
      <c r="A35" s="23">
        <f t="shared" si="0"/>
        <v>0</v>
      </c>
      <c r="B35" s="86"/>
      <c r="C35" s="578"/>
      <c r="D35" s="578"/>
      <c r="E35" s="419"/>
      <c r="F35" s="197" t="str">
        <f t="shared" si="1"/>
        <v/>
      </c>
      <c r="G35" s="197" t="str">
        <f t="shared" si="2"/>
        <v/>
      </c>
      <c r="J35" s="836" t="s">
        <v>359</v>
      </c>
      <c r="K35" s="837"/>
      <c r="L35" s="837"/>
      <c r="M35" s="837"/>
      <c r="N35" s="837"/>
      <c r="O35" s="838"/>
      <c r="P35" s="73"/>
      <c r="R35" s="604" t="s">
        <v>365</v>
      </c>
      <c r="S35" s="605"/>
      <c r="T35" s="605"/>
      <c r="U35" s="605"/>
      <c r="V35" s="606"/>
      <c r="Z35" s="55"/>
      <c r="AA35" s="421" t="str">
        <f>IF(C35="","",VLOOKUP(C35,'General Store'!A:D,3,FALSE))</f>
        <v/>
      </c>
      <c r="AB35" s="421" t="str">
        <f>IF(C35="","",VLOOKUP(C35,'General Store'!A:D,4,FALSE))</f>
        <v/>
      </c>
      <c r="AC35" s="22"/>
      <c r="AD35" s="22"/>
      <c r="AE35" s="22"/>
      <c r="AF35" s="22"/>
    </row>
    <row r="36" spans="1:32" ht="15.6" customHeight="1" x14ac:dyDescent="0.3">
      <c r="A36" s="23">
        <f t="shared" si="0"/>
        <v>0</v>
      </c>
      <c r="B36" s="86"/>
      <c r="C36" s="578"/>
      <c r="D36" s="578"/>
      <c r="E36" s="419"/>
      <c r="F36" s="197" t="str">
        <f t="shared" si="1"/>
        <v/>
      </c>
      <c r="G36" s="197" t="str">
        <f t="shared" si="2"/>
        <v/>
      </c>
      <c r="J36" s="817" t="s">
        <v>360</v>
      </c>
      <c r="K36" s="818"/>
      <c r="L36" s="853" t="s">
        <v>356</v>
      </c>
      <c r="M36" s="854"/>
      <c r="N36" s="818"/>
      <c r="O36" s="136" t="s">
        <v>361</v>
      </c>
      <c r="P36" s="87"/>
      <c r="Q36" s="58"/>
      <c r="R36" s="94" t="s">
        <v>366</v>
      </c>
      <c r="S36" s="839" t="s">
        <v>367</v>
      </c>
      <c r="T36" s="563"/>
      <c r="U36" s="643" t="s">
        <v>358</v>
      </c>
      <c r="V36" s="855"/>
      <c r="Z36" s="138" t="s">
        <v>1543</v>
      </c>
      <c r="AA36" s="421" t="str">
        <f>IF(C36="","",VLOOKUP(C36,'General Store'!A:D,3,FALSE))</f>
        <v/>
      </c>
      <c r="AB36" s="421" t="str">
        <f>IF(C36="","",VLOOKUP(C36,'General Store'!A:D,4,FALSE))</f>
        <v/>
      </c>
      <c r="AC36" s="138" t="s">
        <v>1540</v>
      </c>
      <c r="AD36" s="138" t="s">
        <v>1541</v>
      </c>
      <c r="AE36" s="22"/>
      <c r="AF36" s="22"/>
    </row>
    <row r="37" spans="1:32" ht="15.6" customHeight="1" x14ac:dyDescent="0.3">
      <c r="A37" s="23">
        <f t="shared" si="0"/>
        <v>0</v>
      </c>
      <c r="B37" s="86"/>
      <c r="C37" s="578"/>
      <c r="D37" s="578"/>
      <c r="E37" s="419"/>
      <c r="F37" s="197" t="str">
        <f t="shared" si="1"/>
        <v/>
      </c>
      <c r="G37" s="197" t="str">
        <f t="shared" si="2"/>
        <v/>
      </c>
      <c r="J37" s="819" t="s">
        <v>362</v>
      </c>
      <c r="K37" s="820"/>
      <c r="L37" s="626">
        <f>IF(déForce="",0,IF(AND(Mome1=TRUE,déForce=20),12,IF(AND(Mome1=TRUE,déForce=12),10,IF(AND(Mome1=TRUE,déForce=10),8,IF(AND(Mome1=TRUE,déForce=8),6,IF(AND(Mome1=TRUE,déForce=6),4,IF(AND(Mome1=TRUE,déForce=4),4,IF(AND(Mome2=TRUE,déForce=20),10,IF(AND(Mome2=TRUE,déForce=12),8,IF(AND(Mome2=TRUE,déForce=10),6,IF(AND(Mome2=TRUE,déForce=8),4,IF(AND(Mome2=TRUE,déForce=6),4,IF(AND(Mome2=TRUE,déForce=4),4,déForce))))))))))))*3)</f>
        <v>0</v>
      </c>
      <c r="M37" s="626"/>
      <c r="N37" s="626"/>
      <c r="O37" s="146" t="str">
        <f>IF(Z37&lt;2,2,Z37)</f>
        <v/>
      </c>
      <c r="P37" s="88"/>
      <c r="R37" s="856"/>
      <c r="S37" s="840"/>
      <c r="T37" s="841"/>
      <c r="U37" s="626"/>
      <c r="V37" s="668"/>
      <c r="Z37" s="137" t="str">
        <f>IF(lambin1=TRUE,AA37-1,IF(lambin2=TRUE,AA37-2,IF(lambin3=TRUE,AA37-3,IF(lambin4=TRUE,AA37-4,IF(lambin5=TRUE,AA37-5,AA37)))))</f>
        <v/>
      </c>
      <c r="AA37" s="421" t="str">
        <f>IF(C37="","",VLOOKUP(C37,'General Store'!A:D,3,FALSE))</f>
        <v/>
      </c>
      <c r="AB37" s="421" t="str">
        <f>IF(C37="","",VLOOKUP(C37,'General Store'!A:D,4,FALSE))</f>
        <v/>
      </c>
      <c r="AC37" s="137">
        <f>IF(déAgilité="","",IF(Boiteux1=TRUE,AD37-AD37*0.25,IF(Boiteux2=TRUE,AD37-AD37*0.75,AD37)))</f>
        <v>0</v>
      </c>
      <c r="AD37" s="137">
        <f>IF(déAgilité="","",(IF(Piedl1=TRUE,déAgilité+1*0.75,IF(Piedl2=TRUE,déAgilité+2*0.75,IF(Piedl3=TRUE,déAgilité+3*0.75,IF(Piedl4=TRUE,déAgilité+4*0.75,IF(Piedl5=TRUE,déAgilité+5*0.75,déAgilité*0.75)))))))</f>
        <v>0</v>
      </c>
      <c r="AE37" s="22"/>
      <c r="AF37" s="22"/>
    </row>
    <row r="38" spans="1:32" ht="15.6" customHeight="1" x14ac:dyDescent="0.3">
      <c r="A38" s="23">
        <f t="shared" si="0"/>
        <v>0</v>
      </c>
      <c r="B38" s="86"/>
      <c r="C38" s="578"/>
      <c r="D38" s="578"/>
      <c r="E38" s="419"/>
      <c r="F38" s="197" t="str">
        <f t="shared" si="1"/>
        <v/>
      </c>
      <c r="G38" s="197" t="str">
        <f t="shared" si="2"/>
        <v/>
      </c>
      <c r="J38" s="819" t="s">
        <v>363</v>
      </c>
      <c r="K38" s="820"/>
      <c r="L38" s="626">
        <f>IF(déForce="",0,IF(AND(Mome1=TRUE,déForce=20),12,IF(AND(Mome1=TRUE,déForce=12),10,IF(AND(Mome1=TRUE,déForce=10),8,IF(AND(Mome1=TRUE,déForce=8),6,IF(AND(Mome1=TRUE,déForce=6),4,IF(AND(Mome1=TRUE,déForce=4),4,IF(AND(Mome2=TRUE,déForce=20),10,IF(AND(Mome2=TRUE,déForce=12),8,IF(AND(Mome2=TRUE,déForce=10),6,IF(AND(Mome2=TRUE,déForce=8),4,IF(AND(Mome2=TRUE,déForce=6),4,IF(AND(Mome2=TRUE,déForce=4),4,déForce))))))))))))*6)</f>
        <v>0</v>
      </c>
      <c r="M38" s="626"/>
      <c r="N38" s="626"/>
      <c r="O38" s="146" t="str">
        <f t="shared" ref="O38:O39" si="9">IF(Z38&lt;2,2,Z38)</f>
        <v/>
      </c>
      <c r="P38" s="88"/>
      <c r="R38" s="857"/>
      <c r="S38" s="842"/>
      <c r="T38" s="843"/>
      <c r="U38" s="626"/>
      <c r="V38" s="668"/>
      <c r="Z38" s="137" t="str">
        <f>IF(lambin1=TRUE,AA38-1,IF(lambin2=TRUE,AA38-2,IF(lambin3=TRUE,AA38-3,IF(lambin4=TRUE,AA38-4,IF(lambin5=TRUE,AA38-5,AA38)))))</f>
        <v/>
      </c>
      <c r="AA38" s="421" t="str">
        <f>IF(C38="","",VLOOKUP(C38,'General Store'!A:D,3,FALSE))</f>
        <v/>
      </c>
      <c r="AB38" s="421" t="str">
        <f>IF(C38="","",VLOOKUP(C38,'General Store'!A:D,4,FALSE))</f>
        <v/>
      </c>
      <c r="AC38" s="137">
        <f>IF(déAgilité="","",IF(Boiteux1=TRUE,AD38-AD38*0.25,IF(Boiteux2=TRUE,AD38-AD38*0.75,AD38)))</f>
        <v>0</v>
      </c>
      <c r="AD38" s="137">
        <f>IF(déAgilité="","",(IF(Piedl1=TRUE,déAgilité+1*0.5,IF(Piedl2=TRUE,déAgilité+2*0.5,IF(Piedl3=TRUE,déAgilité+3*0.5,IF(Piedl4=TRUE,déAgilité+4*0.5,IF(Piedl5=TRUE,déAgilité+5*0.5,déAgilité*0.5)))))))</f>
        <v>0</v>
      </c>
      <c r="AE38" s="22"/>
      <c r="AF38" s="22"/>
    </row>
    <row r="39" spans="1:32" ht="15.6" customHeight="1" thickBot="1" x14ac:dyDescent="0.35">
      <c r="A39" s="23">
        <f>IF(B39="Chapeaux",1,IF(B39="Eclairage",2,IF(B39="Elixirs",3,IF(B39="Ecriture",4,IF(B39="Eq. Animaux",5,IF(B39="Mercerie",6,IF(B39="Mobilier",7,IF(B39="Munitions",8,IF(B39="Musique",9,IF(B39="Nourriture",10,IF(B39="Outils",11,IF(B39="Récipients",12,IF(B39="Religion",13,IF(B39="Survie",14,IF(B39="Trésors",15,IF(B39="Véhicules",16,IF(B39="Vêtements",17,IF(B39="Gadgets",18,0))))))))))))))))))</f>
        <v>0</v>
      </c>
      <c r="B39" s="86"/>
      <c r="C39" s="578"/>
      <c r="D39" s="578"/>
      <c r="E39" s="419"/>
      <c r="F39" s="197" t="str">
        <f t="shared" si="1"/>
        <v/>
      </c>
      <c r="G39" s="197" t="str">
        <f t="shared" si="2"/>
        <v/>
      </c>
      <c r="J39" s="821" t="s">
        <v>364</v>
      </c>
      <c r="K39" s="822"/>
      <c r="L39" s="835">
        <f>IF(déForce="",0,IF(AND(Mome1=TRUE,déForce=20),12,IF(AND(Mome1=TRUE,déForce=12),10,IF(AND(Mome1=TRUE,déForce=10),8,IF(AND(Mome1=TRUE,déForce=8),6,IF(AND(Mome1=TRUE,déForce=6),4,IF(AND(Mome1=TRUE,déForce=4),4,IF(AND(Mome2=TRUE,déForce=20),10,IF(AND(Mome2=TRUE,déForce=12),8,IF(AND(Mome2=TRUE,déForce=10),6,IF(AND(Mome2=TRUE,déForce=8),4,IF(AND(Mome2=TRUE,déForce=6),4,IF(AND(Mome2=TRUE,déForce=4),4,déForce))))))))))))*9)</f>
        <v>0</v>
      </c>
      <c r="M39" s="835"/>
      <c r="N39" s="835"/>
      <c r="O39" s="147" t="str">
        <f t="shared" si="9"/>
        <v/>
      </c>
      <c r="P39" s="88"/>
      <c r="R39" s="799" t="s">
        <v>552</v>
      </c>
      <c r="S39" s="800"/>
      <c r="T39" s="801"/>
      <c r="U39" s="835">
        <f>SUM(G19:G39)+SUM(O19:O33)+SUM(V19:V33)+SUM(Combat!R4:R11)</f>
        <v>0</v>
      </c>
      <c r="V39" s="847"/>
      <c r="Z39" s="137" t="str">
        <f>IF(lambin1=TRUE,AA39-1,IF(lambin2=TRUE,AA39-2,IF(lambin3=TRUE,AA39-3,IF(lambin4=TRUE,AA39-4,IF(lambin5=TRUE,AA39-5,AA39)))))</f>
        <v/>
      </c>
      <c r="AA39" s="421" t="str">
        <f>IF(C39="","",VLOOKUP(C39,'General Store'!A:D,3,FALSE))</f>
        <v/>
      </c>
      <c r="AB39" s="421" t="str">
        <f>IF(C39="","",VLOOKUP(C39,'General Store'!A:D,4,FALSE))</f>
        <v/>
      </c>
      <c r="AC39" s="137">
        <f>IF(déAgilité="","",IF(Boiteux1=TRUE,AD39-AD39*0.25,IF(Boiteux2=TRUE,AD39-AD39*0.75,AD39)))</f>
        <v>0</v>
      </c>
      <c r="AD39" s="137">
        <f>IF(déAgilité="","",(IF(Piedl1=TRUE,déAgilité+1*0.25,IF(Piedl2=TRUE,déAgilité+2*0.25,IF(Piedl3=TRUE,déAgilité+3*0.25,IF(Piedl4=TRUE,déAgilité+4*0.25,IF(Piedl5=TRUE,déAgilité+5*0.25,déAgilité*0.25)))))))</f>
        <v>0</v>
      </c>
      <c r="AE39" s="22"/>
      <c r="AF39" s="22"/>
    </row>
    <row r="40" spans="1:32" ht="5.4" customHeight="1" thickBot="1" x14ac:dyDescent="0.35">
      <c r="Z40" s="22"/>
      <c r="AA40" s="22"/>
      <c r="AB40" s="22"/>
      <c r="AC40" s="22"/>
      <c r="AD40" s="22"/>
      <c r="AE40" s="22"/>
      <c r="AF40" s="22"/>
    </row>
    <row r="41" spans="1:32" ht="15" customHeight="1" thickBot="1" x14ac:dyDescent="0.35">
      <c r="C41" s="851" t="s">
        <v>1571</v>
      </c>
      <c r="D41" s="852"/>
      <c r="E41" s="797">
        <f>SUM(F19:F39)</f>
        <v>0</v>
      </c>
      <c r="F41" s="798"/>
      <c r="J41" s="815" t="s">
        <v>1546</v>
      </c>
      <c r="K41" s="816"/>
      <c r="L41" s="850">
        <f>déAgilité</f>
        <v>0</v>
      </c>
      <c r="M41" s="672"/>
      <c r="N41" s="673"/>
      <c r="R41" s="802" t="s">
        <v>5063</v>
      </c>
      <c r="S41" s="803"/>
      <c r="T41" s="804"/>
      <c r="U41" s="848">
        <f>déAgilité*4</f>
        <v>0</v>
      </c>
      <c r="V41" s="849"/>
      <c r="AA41" s="22"/>
      <c r="AB41" s="22"/>
      <c r="AC41" s="22"/>
      <c r="AD41" s="22"/>
      <c r="AE41" s="22"/>
      <c r="AF41" s="22"/>
    </row>
    <row r="42" spans="1:32" ht="3" customHeight="1" x14ac:dyDescent="0.3"/>
    <row r="43" spans="1:32" ht="4.5" customHeight="1" x14ac:dyDescent="0.3">
      <c r="U43" s="134"/>
    </row>
  </sheetData>
  <mergeCells count="125">
    <mergeCell ref="U39:V39"/>
    <mergeCell ref="C35:D35"/>
    <mergeCell ref="C13:D13"/>
    <mergeCell ref="U41:V41"/>
    <mergeCell ref="L41:N41"/>
    <mergeCell ref="C41:D41"/>
    <mergeCell ref="L36:N36"/>
    <mergeCell ref="R24:S24"/>
    <mergeCell ref="R22:S22"/>
    <mergeCell ref="R23:S23"/>
    <mergeCell ref="R31:S31"/>
    <mergeCell ref="R32:S32"/>
    <mergeCell ref="R33:S33"/>
    <mergeCell ref="R34:S34"/>
    <mergeCell ref="R25:S25"/>
    <mergeCell ref="J25:L25"/>
    <mergeCell ref="J26:L26"/>
    <mergeCell ref="R35:V35"/>
    <mergeCell ref="U36:V36"/>
    <mergeCell ref="R28:S28"/>
    <mergeCell ref="R29:S29"/>
    <mergeCell ref="R37:R38"/>
    <mergeCell ref="R27:S27"/>
    <mergeCell ref="R30:S30"/>
    <mergeCell ref="S36:T36"/>
    <mergeCell ref="S37:T38"/>
    <mergeCell ref="U37:V38"/>
    <mergeCell ref="C29:D29"/>
    <mergeCell ref="C28:D28"/>
    <mergeCell ref="C4:J4"/>
    <mergeCell ref="C34:D34"/>
    <mergeCell ref="C18:D18"/>
    <mergeCell ref="C19:D19"/>
    <mergeCell ref="C20:D20"/>
    <mergeCell ref="C21:D21"/>
    <mergeCell ref="C24:D24"/>
    <mergeCell ref="J18:L18"/>
    <mergeCell ref="C31:D31"/>
    <mergeCell ref="J19:L19"/>
    <mergeCell ref="J20:L20"/>
    <mergeCell ref="J21:L21"/>
    <mergeCell ref="J24:L24"/>
    <mergeCell ref="J31:L31"/>
    <mergeCell ref="C22:D22"/>
    <mergeCell ref="J22:L22"/>
    <mergeCell ref="C36:D36"/>
    <mergeCell ref="C37:D37"/>
    <mergeCell ref="C38:D38"/>
    <mergeCell ref="C39:D39"/>
    <mergeCell ref="L37:N37"/>
    <mergeCell ref="L39:N39"/>
    <mergeCell ref="C27:D27"/>
    <mergeCell ref="L38:N38"/>
    <mergeCell ref="J35:O35"/>
    <mergeCell ref="J28:L28"/>
    <mergeCell ref="J29:L29"/>
    <mergeCell ref="C33:D33"/>
    <mergeCell ref="J32:L32"/>
    <mergeCell ref="J33:L33"/>
    <mergeCell ref="C30:D30"/>
    <mergeCell ref="J27:L27"/>
    <mergeCell ref="J30:L30"/>
    <mergeCell ref="C32:D32"/>
    <mergeCell ref="S14:V14"/>
    <mergeCell ref="C14:D14"/>
    <mergeCell ref="U15:V15"/>
    <mergeCell ref="J15:K15"/>
    <mergeCell ref="C25:D25"/>
    <mergeCell ref="C26:D26"/>
    <mergeCell ref="C6:D6"/>
    <mergeCell ref="R19:S19"/>
    <mergeCell ref="R21:S21"/>
    <mergeCell ref="J23:L23"/>
    <mergeCell ref="C23:D23"/>
    <mergeCell ref="R18:S18"/>
    <mergeCell ref="R26:S26"/>
    <mergeCell ref="N12:R12"/>
    <mergeCell ref="C2:W2"/>
    <mergeCell ref="C8:D8"/>
    <mergeCell ref="S5:V5"/>
    <mergeCell ref="S6:V6"/>
    <mergeCell ref="S7:V7"/>
    <mergeCell ref="S8:V8"/>
    <mergeCell ref="C12:D12"/>
    <mergeCell ref="C10:D10"/>
    <mergeCell ref="C9:D9"/>
    <mergeCell ref="C7:D7"/>
    <mergeCell ref="C5:D5"/>
    <mergeCell ref="C11:D11"/>
    <mergeCell ref="S11:V11"/>
    <mergeCell ref="S9:V9"/>
    <mergeCell ref="S10:V10"/>
    <mergeCell ref="S12:V12"/>
    <mergeCell ref="N4:V4"/>
    <mergeCell ref="N5:R5"/>
    <mergeCell ref="N6:R6"/>
    <mergeCell ref="N7:R7"/>
    <mergeCell ref="N8:R8"/>
    <mergeCell ref="N9:R9"/>
    <mergeCell ref="N10:R10"/>
    <mergeCell ref="N11:R11"/>
    <mergeCell ref="E41:F41"/>
    <mergeCell ref="R39:T39"/>
    <mergeCell ref="R41:T41"/>
    <mergeCell ref="E5:J5"/>
    <mergeCell ref="E6:J6"/>
    <mergeCell ref="E7:J7"/>
    <mergeCell ref="E8:J8"/>
    <mergeCell ref="E9:J9"/>
    <mergeCell ref="E10:J10"/>
    <mergeCell ref="E11:J11"/>
    <mergeCell ref="E12:J12"/>
    <mergeCell ref="E13:J13"/>
    <mergeCell ref="E14:J14"/>
    <mergeCell ref="N13:R13"/>
    <mergeCell ref="N14:R14"/>
    <mergeCell ref="J41:K41"/>
    <mergeCell ref="J36:K36"/>
    <mergeCell ref="J37:K37"/>
    <mergeCell ref="J38:K38"/>
    <mergeCell ref="J39:K39"/>
    <mergeCell ref="B17:V17"/>
    <mergeCell ref="R20:S20"/>
    <mergeCell ref="S13:V13"/>
    <mergeCell ref="C15:I15"/>
  </mergeCells>
  <dataValidations count="6">
    <dataValidation type="list" allowBlank="1" showInputMessage="1" showErrorMessage="1" sqref="C5:C14" xr:uid="{00000000-0002-0000-0400-000000000000}">
      <formula1>Atouts</formula1>
    </dataValidation>
    <dataValidation type="list" allowBlank="1" showInputMessage="1" showErrorMessage="1" sqref="N5:N14" xr:uid="{00000000-0002-0000-0400-000001000000}">
      <formula1>Handicaps</formula1>
    </dataValidation>
    <dataValidation type="list" allowBlank="1" showInputMessage="1" showErrorMessage="1" sqref="Q19:Q33 I19:I33 B19:B39" xr:uid="{00000000-0002-0000-0400-000002000000}">
      <formula1>Typ_Eq</formula1>
    </dataValidation>
    <dataValidation type="list" allowBlank="1" showInputMessage="1" showErrorMessage="1" sqref="C19:D39 J19:K33 R19:S33" xr:uid="{00000000-0002-0000-0400-000003000000}">
      <formula1>IF(A19=1,Ch,IF(A19=2,El,IF(A19=3,Ec,IF(A19=4,Ecr,IF(A19=5,EA,IF(A19=6,Me,IF(A19=7,Mo,IF(A19=8,Mun,IF(A19=9,Mus,IF(A19=10,No,IF(A19=11,Ou,IF(A19=12,Re,IF(A19=13,Rl,IF(A19=14,Su,IF(A19=15,Tré,IF(A19=16,Vé,IF(A19=17,Ve,IF(A19=18,Ga,""))))))))))))))))))</formula1>
    </dataValidation>
    <dataValidation type="list" allowBlank="1" showInputMessage="1" showErrorMessage="1" sqref="L19:L33" xr:uid="{00000000-0002-0000-0400-000004000000}">
      <formula1>IF(I19=1,Ch,IF(I19=2,El,IF(I19=3,Ec,IF(I19=4,Ecr,IF(I19=5,EA,IF(I19=6,Me,IF(I19=7,Mo,IF(I19=8,Mun,IF(I19=9,Mus,IF(I19=10,No,IF(I19=11,Ou,IF(I19=12,Re,IF(I19=13,Rl,IF(I19=14,Su,IF(I19=15,Tré,IF(I19=16,Vé,IF(I19=17,Ve,IF(I19=18,Ga,""))))))))))))))))))</formula1>
    </dataValidation>
    <dataValidation type="whole" operator="greaterThan" allowBlank="1" showInputMessage="1" showErrorMessage="1" sqref="T19:T33 M19:M33 E19:E39" xr:uid="{8263D40B-F11F-45B9-8FE5-7CEEF8063F55}">
      <formula1>0</formula1>
    </dataValidation>
  </dataValidations>
  <pageMargins left="0.23622047244094488" right="0.23622047244094488" top="0.39370078740157483" bottom="0.3937007874015748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B1:X44"/>
  <sheetViews>
    <sheetView zoomScale="115" zoomScaleNormal="115" workbookViewId="0">
      <selection activeCell="C4" sqref="C4"/>
    </sheetView>
  </sheetViews>
  <sheetFormatPr baseColWidth="10" defaultRowHeight="14.4" x14ac:dyDescent="0.3"/>
  <cols>
    <col min="1" max="2" width="3.6640625" customWidth="1"/>
    <col min="3" max="7" width="6.6640625" customWidth="1"/>
    <col min="8" max="10" width="7.5546875" customWidth="1"/>
    <col min="11" max="11" width="0.88671875" customWidth="1"/>
    <col min="12" max="12" width="7.5546875" customWidth="1"/>
    <col min="13" max="13" width="7.6640625" customWidth="1"/>
    <col min="14" max="14" width="7.5546875" customWidth="1"/>
    <col min="15" max="15" width="4.33203125" customWidth="1"/>
    <col min="16" max="21" width="3.6640625" customWidth="1"/>
    <col min="22" max="22" width="1.88671875" customWidth="1"/>
    <col min="23" max="23" width="16" customWidth="1"/>
    <col min="24" max="25" width="3.6640625" customWidth="1"/>
    <col min="26" max="27" width="3.109375" customWidth="1"/>
    <col min="28" max="28" width="4.6640625" customWidth="1"/>
  </cols>
  <sheetData>
    <row r="1" spans="2:24" ht="4.95" customHeight="1" x14ac:dyDescent="0.3"/>
    <row r="2" spans="2:24" ht="17.399999999999999" x14ac:dyDescent="0.4">
      <c r="C2" s="874" t="s">
        <v>368</v>
      </c>
      <c r="D2" s="823"/>
      <c r="E2" s="823"/>
      <c r="F2" s="823"/>
      <c r="G2" s="823"/>
      <c r="H2" s="823"/>
      <c r="I2" s="823"/>
      <c r="J2" s="823"/>
      <c r="K2" s="823"/>
      <c r="L2" s="823"/>
      <c r="M2" s="823"/>
      <c r="N2" s="823"/>
      <c r="O2" s="823"/>
      <c r="P2" s="823"/>
      <c r="Q2" s="823"/>
      <c r="R2" s="823"/>
      <c r="S2" s="823"/>
      <c r="T2" s="823"/>
      <c r="U2" s="823"/>
      <c r="V2" s="823"/>
      <c r="W2" s="823"/>
      <c r="X2" s="255"/>
    </row>
    <row r="3" spans="2:24" x14ac:dyDescent="0.3">
      <c r="C3" s="166" t="s">
        <v>396</v>
      </c>
      <c r="D3" s="877" t="s">
        <v>368</v>
      </c>
      <c r="E3" s="878"/>
      <c r="F3" s="879"/>
      <c r="G3" s="178" t="s">
        <v>1367</v>
      </c>
      <c r="H3" s="875" t="s">
        <v>553</v>
      </c>
      <c r="I3" s="876"/>
      <c r="J3" s="875" t="s">
        <v>551</v>
      </c>
      <c r="K3" s="876"/>
      <c r="L3" s="178" t="s">
        <v>548</v>
      </c>
      <c r="M3" s="178" t="s">
        <v>370</v>
      </c>
      <c r="N3" s="178" t="s">
        <v>376</v>
      </c>
      <c r="O3" s="178" t="s">
        <v>371</v>
      </c>
      <c r="P3" s="210" t="s">
        <v>372</v>
      </c>
      <c r="Q3" s="210" t="s">
        <v>373</v>
      </c>
      <c r="R3" s="210" t="s">
        <v>374</v>
      </c>
      <c r="S3" s="210" t="s">
        <v>2243</v>
      </c>
      <c r="T3" s="210" t="s">
        <v>2912</v>
      </c>
      <c r="U3" s="210" t="s">
        <v>356</v>
      </c>
      <c r="V3" s="210" t="s">
        <v>3692</v>
      </c>
      <c r="W3" s="265" t="s">
        <v>375</v>
      </c>
      <c r="X3" s="255"/>
    </row>
    <row r="4" spans="2:24" ht="21.75" customHeight="1" x14ac:dyDescent="0.3">
      <c r="B4" s="93">
        <f>IF(C4="Arme Chinoise",1,IF(C4="Canon",2,IF(C4="Corps à corps",3,IF(C4="Derringers et Pepperboxes",4,IF(C4="Expérimental",5,IF(C4="Explosifs",6,IF(C4="Fusils et Carabines",7,IF(C4="Gatlings",8,IF(C4="Pistolet double action",9,IF(C4="Pistolet simple action",10,IF(C4="Shotguns",11,IF(C4="Tir/Lancer",12,0))))))))))))</f>
        <v>0</v>
      </c>
      <c r="C4" s="108"/>
      <c r="D4" s="858"/>
      <c r="E4" s="859"/>
      <c r="F4" s="860"/>
      <c r="G4" s="127" t="str">
        <f>IF(D4="","",VLOOKUP(D4,Weaponsmith!B:U,3,FALSE))</f>
        <v/>
      </c>
      <c r="H4" s="144" t="str">
        <f>IF(OR($C4="Corps à corps",$C4="Arme Chinoise"),"-","")</f>
        <v/>
      </c>
      <c r="I4" s="176" t="str">
        <f>IF(D4="","",CONCATENATE("/",VLOOKUP(D4,Weaponsmith!B:U,4,FALSE)))</f>
        <v/>
      </c>
      <c r="J4" s="500" t="str">
        <f>IF(D4="","",VLOOKUP(D4,Weaponsmith!B:U,5,FALSE))</f>
        <v/>
      </c>
      <c r="K4" s="501"/>
      <c r="L4" s="83" t="str">
        <f>IF(D4="","",VLOOKUP(D4,Weaponsmith!B:U,6,FALSE))</f>
        <v/>
      </c>
      <c r="M4" s="197" t="str">
        <f>IF(D4="","",IF(Syst.&lt;&gt;"Reloaded",VLOOKUP(D4,Weaponsmith!B:U,7,FALSE),VLOOKUP(D4,Weaponsmith!B:U,8,FALSE)))</f>
        <v/>
      </c>
      <c r="N4" s="177" t="str">
        <f>IF(D4="","",CONCATENATE((IF(D4="","",IF(Syst.="Classic",VLOOKUP(D4,Weaponsmith!B:U,9,FALSE),VLOOKUP(D4,Weaponsmith!B:U,10,FALSE)))),IF(AND(Arts_Martiaux=TRUE,B4=3)," +1d",""),IF(AND(Arts_Martiaux=TRUE,B4=3),IF(CChi=TRUE,déAme,déForce),""),IF(AND(Syst.="Classic",Fpc=TRUE,OR(B4=1,B4=3))," +Xd4",IF(AND(Syst.="Reloaded",Fpc=TRUE,OR(B4=1,B4=3))," +Mal dég.",""))))</f>
        <v/>
      </c>
      <c r="O4" s="83" t="str">
        <f>IF(D4="","",VLOOKUP(D4,Weaponsmith!B:U,11,FALSE))</f>
        <v/>
      </c>
      <c r="P4" s="85" t="str">
        <f>IF(D4="","",VLOOKUP(D4,Weaponsmith!B:U,12,FALSE))</f>
        <v/>
      </c>
      <c r="Q4" s="85" t="str">
        <f>IF(D4="","",VLOOKUP(D4,Weaponsmith!B:U,13,FALSE))</f>
        <v/>
      </c>
      <c r="R4" s="85" t="str">
        <f>IF(D4="","",VLOOKUP(D4,Weaponsmith!B:U,14,FALSE))</f>
        <v/>
      </c>
      <c r="S4" s="197" t="str">
        <f>IF(D4="","",VLOOKUP(D4,Weaponsmith!B:U,15,FALSE))</f>
        <v/>
      </c>
      <c r="T4" s="197" t="str">
        <f>IF(D4="","",VLOOKUP(D4,Weaponsmith!B:U,16,FALSE))</f>
        <v/>
      </c>
      <c r="U4" s="197" t="str">
        <f>IF(D4="","",VLOOKUP(D4,Weaponsmith!B:U,17,FALSE))</f>
        <v/>
      </c>
      <c r="V4" s="75" t="str">
        <f>IF(D4="","",VLOOKUP(D4,Weaponsmith!B:U,19,FALSE))</f>
        <v/>
      </c>
      <c r="W4" s="266" t="str">
        <f>IF(D4="","",VLOOKUP(D4,Weaponsmith!B:U,20,FALSE))</f>
        <v/>
      </c>
      <c r="X4" s="255"/>
    </row>
    <row r="5" spans="2:24" ht="21.75" customHeight="1" x14ac:dyDescent="0.3">
      <c r="B5" s="93">
        <f t="shared" ref="B5:B11" si="0">IF(C5="Arme Chinoise",1,IF(C5="Canon",2,IF(C5="Corps à corps",3,IF(C5="Derringers et Pepperboxes",4,IF(C5="Expérimental",5,IF(C5="Explosifs",6,IF(C5="Fusils et Carabines",7,IF(C5="Gatlings",8,IF(C5="Pistolet double action",9,IF(C5="Pistolet simple action",10,IF(C5="Shotguns",11,IF(C5="Tir/Lancer",12,0))))))))))))</f>
        <v>0</v>
      </c>
      <c r="C5" s="108"/>
      <c r="D5" s="858"/>
      <c r="E5" s="859"/>
      <c r="F5" s="860"/>
      <c r="G5" s="127" t="str">
        <f>IF(D5="","",VLOOKUP(D5,Weaponsmith!B:U,3,FALSE))</f>
        <v/>
      </c>
      <c r="H5" s="144" t="str">
        <f t="shared" ref="H5:H11" si="1">IF(OR($C5="Corps à corps",$C5="Arme Chinoise"),"-","")</f>
        <v/>
      </c>
      <c r="I5" s="176" t="str">
        <f>IF(D5="","",CONCATENATE("/",VLOOKUP(D5,Weaponsmith!B:U,4,FALSE)))</f>
        <v/>
      </c>
      <c r="J5" s="500" t="str">
        <f>IF(D5="","",VLOOKUP(D5,Weaponsmith!B:U,5,FALSE))</f>
        <v/>
      </c>
      <c r="K5" s="501"/>
      <c r="L5" s="83" t="str">
        <f>IF(D5="","",VLOOKUP(D5,Weaponsmith!B:U,6,FALSE))</f>
        <v/>
      </c>
      <c r="M5" s="197" t="str">
        <f>IF(D5="","",IF(Syst.&lt;&gt;"Reloaded",VLOOKUP(D5,Weaponsmith!B:U,7,FALSE),VLOOKUP(D5,Weaponsmith!B:U,8,FALSE)))</f>
        <v/>
      </c>
      <c r="N5" s="177" t="str">
        <f>IF(D5="","",CONCATENATE((IF(D5="","",IF(Syst.="Classic",VLOOKUP(D5,Weaponsmith!B:U,9,FALSE),VLOOKUP(D5,Weaponsmith!B:U,10,FALSE)))),IF(AND(Arts_Martiaux=TRUE,B5=3)," +1d",""),IF(AND(Arts_Martiaux=TRUE,B5=3),IF(CChi=TRUE,déAme,déForce),""),IF(AND(Syst.="Classic",Fpc=TRUE,OR(B5=1,B5=3))," +Xd4",IF(AND(Syst.="Reloaded",Fpc=TRUE,OR(B5=1,B5=3))," +Mal dég.",""))))</f>
        <v/>
      </c>
      <c r="O5" s="83" t="str">
        <f>IF(D5="","",VLOOKUP(D5,Weaponsmith!B:U,11,FALSE))</f>
        <v/>
      </c>
      <c r="P5" s="85" t="str">
        <f>IF(D5="","",VLOOKUP(D5,Weaponsmith!B:U,12,FALSE))</f>
        <v/>
      </c>
      <c r="Q5" s="85" t="str">
        <f>IF(D5="","",VLOOKUP(D5,Weaponsmith!B:U,13,FALSE))</f>
        <v/>
      </c>
      <c r="R5" s="85" t="str">
        <f>IF(D5="","",VLOOKUP(D5,Weaponsmith!B:U,14,FALSE))</f>
        <v/>
      </c>
      <c r="S5" s="197" t="str">
        <f>IF(D5="","",VLOOKUP(D5,Weaponsmith!B:U,15,FALSE))</f>
        <v/>
      </c>
      <c r="T5" s="197" t="str">
        <f>IF(D5="","",VLOOKUP(D5,Weaponsmith!B:U,16,FALSE))</f>
        <v/>
      </c>
      <c r="U5" s="197" t="str">
        <f>IF(D5="","",VLOOKUP(D5,Weaponsmith!B:U,17,FALSE))</f>
        <v/>
      </c>
      <c r="V5" s="75" t="str">
        <f>IF(D5="","",VLOOKUP(D5,Weaponsmith!B:U,19,FALSE))</f>
        <v/>
      </c>
      <c r="W5" s="266" t="str">
        <f>IF(D5="","",VLOOKUP(D5,Weaponsmith!B:U,20,FALSE))</f>
        <v/>
      </c>
      <c r="X5" s="255"/>
    </row>
    <row r="6" spans="2:24" ht="21.75" customHeight="1" x14ac:dyDescent="0.3">
      <c r="B6" s="93">
        <f t="shared" si="0"/>
        <v>0</v>
      </c>
      <c r="C6" s="108"/>
      <c r="D6" s="858"/>
      <c r="E6" s="859"/>
      <c r="F6" s="860"/>
      <c r="G6" s="127" t="str">
        <f>IF(D6="","",VLOOKUP(D6,Weaponsmith!B:U,3,FALSE))</f>
        <v/>
      </c>
      <c r="H6" s="144" t="str">
        <f t="shared" si="1"/>
        <v/>
      </c>
      <c r="I6" s="176" t="str">
        <f>IF(D6="","",CONCATENATE("/",VLOOKUP(D6,Weaponsmith!B:U,4,FALSE)))</f>
        <v/>
      </c>
      <c r="J6" s="500" t="str">
        <f>IF(D6="","",VLOOKUP(D6,Weaponsmith!B:U,5,FALSE))</f>
        <v/>
      </c>
      <c r="K6" s="501"/>
      <c r="L6" s="83" t="str">
        <f>IF(D6="","",VLOOKUP(D6,Weaponsmith!B:U,6,FALSE))</f>
        <v/>
      </c>
      <c r="M6" s="197" t="str">
        <f>IF(D6="","",IF(Syst.&lt;&gt;"Reloaded",VLOOKUP(D6,Weaponsmith!B:U,7,FALSE),VLOOKUP(D6,Weaponsmith!B:U,8,FALSE)))</f>
        <v/>
      </c>
      <c r="N6" s="177" t="str">
        <f>IF(D6="","",CONCATENATE((IF(D6="","",IF(Syst.="Classic",VLOOKUP(D6,Weaponsmith!B:U,9,FALSE),VLOOKUP(D6,Weaponsmith!B:U,10,FALSE)))),IF(AND(Arts_Martiaux=TRUE,B6=3)," +1d",""),IF(AND(Arts_Martiaux=TRUE,B6=3),IF(CChi=TRUE,déAme,déForce),""),IF(AND(Syst.="Classic",Fpc=TRUE,OR(B6=1,B6=3))," +Xd4",IF(AND(Syst.="Reloaded",Fpc=TRUE,OR(B6=1,B6=3))," +Mal dég.",""))))</f>
        <v/>
      </c>
      <c r="O6" s="83" t="str">
        <f>IF(D6="","",VLOOKUP(D6,Weaponsmith!B:U,11,FALSE))</f>
        <v/>
      </c>
      <c r="P6" s="85" t="str">
        <f>IF(D6="","",VLOOKUP(D6,Weaponsmith!B:U,12,FALSE))</f>
        <v/>
      </c>
      <c r="Q6" s="85" t="str">
        <f>IF(D6="","",VLOOKUP(D6,Weaponsmith!B:U,13,FALSE))</f>
        <v/>
      </c>
      <c r="R6" s="85" t="str">
        <f>IF(D6="","",VLOOKUP(D6,Weaponsmith!B:U,14,FALSE))</f>
        <v/>
      </c>
      <c r="S6" s="197" t="str">
        <f>IF(D6="","",VLOOKUP(D6,Weaponsmith!B:U,15,FALSE))</f>
        <v/>
      </c>
      <c r="T6" s="197" t="str">
        <f>IF(D6="","",VLOOKUP(D6,Weaponsmith!B:U,16,FALSE))</f>
        <v/>
      </c>
      <c r="U6" s="197" t="str">
        <f>IF(D6="","",VLOOKUP(D6,Weaponsmith!B:U,17,FALSE))</f>
        <v/>
      </c>
      <c r="V6" s="75" t="str">
        <f>IF(D6="","",VLOOKUP(D6,Weaponsmith!B:U,19,FALSE))</f>
        <v/>
      </c>
      <c r="W6" s="266" t="str">
        <f>IF(D6="","",VLOOKUP(D6,Weaponsmith!B:U,20,FALSE))</f>
        <v/>
      </c>
      <c r="X6" s="255"/>
    </row>
    <row r="7" spans="2:24" ht="21.75" customHeight="1" x14ac:dyDescent="0.3">
      <c r="B7" s="93">
        <f t="shared" si="0"/>
        <v>0</v>
      </c>
      <c r="C7" s="108"/>
      <c r="D7" s="858"/>
      <c r="E7" s="859"/>
      <c r="F7" s="860"/>
      <c r="G7" s="127" t="str">
        <f>IF(D7="","",VLOOKUP(D7,Weaponsmith!B:U,3,FALSE))</f>
        <v/>
      </c>
      <c r="H7" s="144" t="str">
        <f t="shared" si="1"/>
        <v/>
      </c>
      <c r="I7" s="176" t="str">
        <f>IF(D7="","",CONCATENATE("/",VLOOKUP(D7,Weaponsmith!B:U,4,FALSE)))</f>
        <v/>
      </c>
      <c r="J7" s="500" t="str">
        <f>IF(D7="","",VLOOKUP(D7,Weaponsmith!B:U,5,FALSE))</f>
        <v/>
      </c>
      <c r="K7" s="501"/>
      <c r="L7" s="83" t="str">
        <f>IF(D7="","",VLOOKUP(D7,Weaponsmith!B:U,6,FALSE))</f>
        <v/>
      </c>
      <c r="M7" s="197" t="str">
        <f>IF(D7="","",IF(Syst.&lt;&gt;"Reloaded",VLOOKUP(D7,Weaponsmith!B:U,7,FALSE),VLOOKUP(D7,Weaponsmith!B:U,8,FALSE)))</f>
        <v/>
      </c>
      <c r="N7" s="177" t="str">
        <f>IF(D7="","",CONCATENATE((IF(D7="","",IF(Syst.="Classic",VLOOKUP(D7,Weaponsmith!B:U,9,FALSE),VLOOKUP(D7,Weaponsmith!B:U,10,FALSE)))),IF(AND(Arts_Martiaux=TRUE,B7=3)," +1d",""),IF(AND(Arts_Martiaux=TRUE,B7=3),IF(CChi=TRUE,déAme,déForce),""),IF(AND(Syst.="Classic",Fpc=TRUE,OR(B7=1,B7=3))," +Xd4",IF(AND(Syst.="Reloaded",Fpc=TRUE,OR(B7=1,B7=3))," +Mal dég.",""))))</f>
        <v/>
      </c>
      <c r="O7" s="83" t="str">
        <f>IF(D7="","",VLOOKUP(D7,Weaponsmith!B:U,11,FALSE))</f>
        <v/>
      </c>
      <c r="P7" s="85" t="str">
        <f>IF(D7="","",VLOOKUP(D7,Weaponsmith!B:U,12,FALSE))</f>
        <v/>
      </c>
      <c r="Q7" s="85" t="str">
        <f>IF(D7="","",VLOOKUP(D7,Weaponsmith!B:U,13,FALSE))</f>
        <v/>
      </c>
      <c r="R7" s="85" t="str">
        <f>IF(D7="","",VLOOKUP(D7,Weaponsmith!B:U,14,FALSE))</f>
        <v/>
      </c>
      <c r="S7" s="197" t="str">
        <f>IF(D7="","",VLOOKUP(D7,Weaponsmith!B:U,15,FALSE))</f>
        <v/>
      </c>
      <c r="T7" s="197" t="str">
        <f>IF(D7="","",VLOOKUP(D7,Weaponsmith!B:U,16,FALSE))</f>
        <v/>
      </c>
      <c r="U7" s="197" t="str">
        <f>IF(D7="","",VLOOKUP(D7,Weaponsmith!B:U,17,FALSE))</f>
        <v/>
      </c>
      <c r="V7" s="75" t="str">
        <f>IF(D7="","",VLOOKUP(D7,Weaponsmith!B:U,19,FALSE))</f>
        <v/>
      </c>
      <c r="W7" s="266" t="str">
        <f>IF(D7="","",VLOOKUP(D7,Weaponsmith!B:U,20,FALSE))</f>
        <v/>
      </c>
      <c r="X7" s="255"/>
    </row>
    <row r="8" spans="2:24" ht="21.75" customHeight="1" x14ac:dyDescent="0.3">
      <c r="B8" s="93">
        <f t="shared" si="0"/>
        <v>0</v>
      </c>
      <c r="C8" s="108"/>
      <c r="D8" s="858"/>
      <c r="E8" s="859"/>
      <c r="F8" s="860"/>
      <c r="G8" s="127"/>
      <c r="H8" s="144" t="str">
        <f t="shared" si="1"/>
        <v/>
      </c>
      <c r="I8" s="176" t="str">
        <f>IF(D8="","",CONCATENATE("/",VLOOKUP(D8,Weaponsmith!B:U,4,FALSE)))</f>
        <v/>
      </c>
      <c r="J8" s="500" t="str">
        <f>IF(D8="","",VLOOKUP(D8,Weaponsmith!B:U,5,FALSE))</f>
        <v/>
      </c>
      <c r="K8" s="501"/>
      <c r="L8" s="83" t="str">
        <f>IF(D8="","",VLOOKUP(D8,Weaponsmith!B:U,6,FALSE))</f>
        <v/>
      </c>
      <c r="M8" s="197" t="str">
        <f>IF(D8="","",IF(Syst.&lt;&gt;"Reloaded",VLOOKUP(D8,Weaponsmith!B:U,7,FALSE),VLOOKUP(D8,Weaponsmith!B:U,8,FALSE)))</f>
        <v/>
      </c>
      <c r="N8" s="177" t="str">
        <f>IF(D8="","",CONCATENATE((IF(D8="","",IF(Syst.="Classic",VLOOKUP(D8,Weaponsmith!B:U,9,FALSE),VLOOKUP(D8,Weaponsmith!B:U,10,FALSE)))),IF(AND(Arts_Martiaux=TRUE,B8=3)," +1d",""),IF(AND(Arts_Martiaux=TRUE,B8=3),IF(CChi=TRUE,déAme,déForce),""),IF(AND(Syst.="Classic",Fpc=TRUE,OR(B8=1,B8=3))," +Xd4",IF(AND(Syst.="Reloaded",Fpc=TRUE,OR(B8=1,B8=3))," +Mal dég.",""))))</f>
        <v/>
      </c>
      <c r="O8" s="83" t="str">
        <f>IF(D8="","",VLOOKUP(D8,Weaponsmith!B:U,11,FALSE))</f>
        <v/>
      </c>
      <c r="P8" s="85" t="str">
        <f>IF(D8="","",VLOOKUP(D8,Weaponsmith!B:U,12,FALSE))</f>
        <v/>
      </c>
      <c r="Q8" s="85" t="str">
        <f>IF(D8="","",VLOOKUP(D8,Weaponsmith!B:U,13,FALSE))</f>
        <v/>
      </c>
      <c r="R8" s="85" t="str">
        <f>IF(D8="","",VLOOKUP(D8,Weaponsmith!B:U,14,FALSE))</f>
        <v/>
      </c>
      <c r="S8" s="197" t="str">
        <f>IF(D8="","",VLOOKUP(D8,Weaponsmith!B:U,15,FALSE))</f>
        <v/>
      </c>
      <c r="T8" s="197" t="str">
        <f>IF(D8="","",VLOOKUP(D8,Weaponsmith!B:U,16,FALSE))</f>
        <v/>
      </c>
      <c r="U8" s="197" t="str">
        <f>IF(D8="","",VLOOKUP(D8,Weaponsmith!B:U,17,FALSE))</f>
        <v/>
      </c>
      <c r="V8" s="75" t="str">
        <f>IF(D8="","",VLOOKUP(D8,Weaponsmith!B:U,19,FALSE))</f>
        <v/>
      </c>
      <c r="W8" s="266" t="str">
        <f>IF(D8="","",VLOOKUP(D8,Weaponsmith!B:U,20,FALSE))</f>
        <v/>
      </c>
      <c r="X8" s="255"/>
    </row>
    <row r="9" spans="2:24" ht="21.75" customHeight="1" x14ac:dyDescent="0.3">
      <c r="B9" s="93">
        <f t="shared" si="0"/>
        <v>0</v>
      </c>
      <c r="C9" s="108"/>
      <c r="D9" s="858"/>
      <c r="E9" s="859"/>
      <c r="F9" s="860"/>
      <c r="G9" s="127" t="str">
        <f>IF(D9="","",VLOOKUP(D9,Weaponsmith!B:U,3,FALSE))</f>
        <v/>
      </c>
      <c r="H9" s="144" t="str">
        <f t="shared" si="1"/>
        <v/>
      </c>
      <c r="I9" s="176" t="str">
        <f>IF(D9="","",CONCATENATE("/",VLOOKUP(D9,Weaponsmith!B:U,4,FALSE)))</f>
        <v/>
      </c>
      <c r="J9" s="500" t="str">
        <f>IF(D9="","",VLOOKUP(D9,Weaponsmith!B:U,5,FALSE))</f>
        <v/>
      </c>
      <c r="K9" s="501"/>
      <c r="L9" s="83" t="str">
        <f>IF(D9="","",VLOOKUP(D9,Weaponsmith!B:U,6,FALSE))</f>
        <v/>
      </c>
      <c r="M9" s="197" t="str">
        <f>IF(D9="","",IF(Syst.&lt;&gt;"Reloaded",VLOOKUP(D9,Weaponsmith!B:U,7,FALSE),VLOOKUP(D9,Weaponsmith!B:U,8,FALSE)))</f>
        <v/>
      </c>
      <c r="N9" s="177" t="str">
        <f>IF(D9="","",CONCATENATE((IF(D9="","",IF(Syst.="Classic",VLOOKUP(D9,Weaponsmith!B:U,9,FALSE),VLOOKUP(D9,Weaponsmith!B:U,10,FALSE)))),IF(AND(Arts_Martiaux=TRUE,B9=3)," +1d",""),IF(AND(Arts_Martiaux=TRUE,B9=3),IF(CChi=TRUE,déAme,déForce),""),IF(AND(Syst.="Classic",Fpc=TRUE,OR(B9=1,B9=3))," +Xd4",IF(AND(Syst.="Reloaded",Fpc=TRUE,OR(B9=1,B9=3))," +Mal dég.",""))))</f>
        <v/>
      </c>
      <c r="O9" s="83" t="str">
        <f>IF(D9="","",VLOOKUP(D9,Weaponsmith!B:U,11,FALSE))</f>
        <v/>
      </c>
      <c r="P9" s="85" t="str">
        <f>IF(D9="","",VLOOKUP(D9,Weaponsmith!B:U,12,FALSE))</f>
        <v/>
      </c>
      <c r="Q9" s="85" t="str">
        <f>IF(D9="","",VLOOKUP(D9,Weaponsmith!B:U,13,FALSE))</f>
        <v/>
      </c>
      <c r="R9" s="85" t="str">
        <f>IF(D9="","",VLOOKUP(D9,Weaponsmith!B:U,14,FALSE))</f>
        <v/>
      </c>
      <c r="S9" s="197" t="str">
        <f>IF(D9="","",VLOOKUP(D9,Weaponsmith!B:U,15,FALSE))</f>
        <v/>
      </c>
      <c r="T9" s="197" t="str">
        <f>IF(D9="","",VLOOKUP(D9,Weaponsmith!B:U,16,FALSE))</f>
        <v/>
      </c>
      <c r="U9" s="197" t="str">
        <f>IF(D9="","",VLOOKUP(D9,Weaponsmith!B:U,17,FALSE))</f>
        <v/>
      </c>
      <c r="V9" s="75" t="str">
        <f>IF(D9="","",VLOOKUP(D9,Weaponsmith!B:U,19,FALSE))</f>
        <v/>
      </c>
      <c r="W9" s="266" t="str">
        <f>IF(D9="","",VLOOKUP(D9,Weaponsmith!B:U,20,FALSE))</f>
        <v/>
      </c>
      <c r="X9" s="255"/>
    </row>
    <row r="10" spans="2:24" ht="21.75" customHeight="1" x14ac:dyDescent="0.3">
      <c r="B10" s="93">
        <f t="shared" si="0"/>
        <v>0</v>
      </c>
      <c r="C10" s="108"/>
      <c r="D10" s="858"/>
      <c r="E10" s="859"/>
      <c r="F10" s="860"/>
      <c r="G10" s="127" t="str">
        <f>IF(D10="","",VLOOKUP(D10,Weaponsmith!B:U,3,FALSE))</f>
        <v/>
      </c>
      <c r="H10" s="247" t="str">
        <f t="shared" si="1"/>
        <v/>
      </c>
      <c r="I10" s="176" t="str">
        <f>IF(D10="","",CONCATENATE("/",VLOOKUP(D10,Weaponsmith!B:U,4,FALSE)))</f>
        <v/>
      </c>
      <c r="J10" s="500" t="str">
        <f>IF(D10="","",VLOOKUP(D10,Weaponsmith!B:U,5,FALSE))</f>
        <v/>
      </c>
      <c r="K10" s="501"/>
      <c r="L10" s="83" t="str">
        <f>IF(D10="","",VLOOKUP(D10,Weaponsmith!B:U,6,FALSE))</f>
        <v/>
      </c>
      <c r="M10" s="197" t="str">
        <f>IF(D10="","",IF(Syst.&lt;&gt;"Reloaded",VLOOKUP(D10,Weaponsmith!B:U,7,FALSE),VLOOKUP(D10,Weaponsmith!B:U,8,FALSE)))</f>
        <v/>
      </c>
      <c r="N10" s="177" t="str">
        <f>IF(D10="","",CONCATENATE((IF(D10="","",IF(Syst.="Classic",VLOOKUP(D10,Weaponsmith!B:U,9,FALSE),VLOOKUP(D10,Weaponsmith!B:U,10,FALSE)))),IF(AND(Arts_Martiaux=TRUE,B10=3)," +1d",""),IF(AND(Arts_Martiaux=TRUE,B10=3),IF(CChi=TRUE,déAme,déForce),""),IF(AND(Syst.="Classic",Fpc=TRUE,OR(B10=1,B10=3))," +Xd4",IF(AND(Syst.="Reloaded",Fpc=TRUE,OR(B10=1,B10=3))," +Mal dég.",""))))</f>
        <v/>
      </c>
      <c r="O10" s="83" t="str">
        <f>IF(D10="","",VLOOKUP(D10,Weaponsmith!B:U,11,FALSE))</f>
        <v/>
      </c>
      <c r="P10" s="85" t="str">
        <f>IF(D10="","",VLOOKUP(D10,Weaponsmith!B:U,12,FALSE))</f>
        <v/>
      </c>
      <c r="Q10" s="85" t="str">
        <f>IF(D10="","",VLOOKUP(D10,Weaponsmith!B:U,13,FALSE))</f>
        <v/>
      </c>
      <c r="R10" s="85" t="str">
        <f>IF(D10="","",VLOOKUP(D10,Weaponsmith!B:U,14,FALSE))</f>
        <v/>
      </c>
      <c r="S10" s="197" t="str">
        <f>IF(D10="","",VLOOKUP(D10,Weaponsmith!B:U,15,FALSE))</f>
        <v/>
      </c>
      <c r="T10" s="197" t="str">
        <f>IF(D10="","",VLOOKUP(D10,Weaponsmith!B:U,16,FALSE))</f>
        <v/>
      </c>
      <c r="U10" s="197" t="str">
        <f>IF(D10="","",VLOOKUP(D10,Weaponsmith!B:U,17,FALSE))</f>
        <v/>
      </c>
      <c r="V10" s="75" t="str">
        <f>IF(D10="","",VLOOKUP(D10,Weaponsmith!B:U,19,FALSE))</f>
        <v/>
      </c>
      <c r="W10" s="266" t="str">
        <f>IF(D10="","",VLOOKUP(D10,Weaponsmith!B:U,20,FALSE))</f>
        <v/>
      </c>
      <c r="X10" s="255"/>
    </row>
    <row r="11" spans="2:24" ht="21.75" customHeight="1" thickBot="1" x14ac:dyDescent="0.35">
      <c r="B11" s="93">
        <f t="shared" si="0"/>
        <v>0</v>
      </c>
      <c r="C11" s="109"/>
      <c r="D11" s="865"/>
      <c r="E11" s="865"/>
      <c r="F11" s="865"/>
      <c r="G11" s="248" t="str">
        <f>IF(D11="","",VLOOKUP(D11,Weaponsmith!B:U,3,FALSE))</f>
        <v/>
      </c>
      <c r="H11" s="145" t="str">
        <f t="shared" si="1"/>
        <v/>
      </c>
      <c r="I11" s="143" t="str">
        <f>IF(D11="","",CONCATENATE("/",VLOOKUP(D11,Weaponsmith!B:U,4,FALSE)))</f>
        <v/>
      </c>
      <c r="J11" s="835" t="str">
        <f>IF(D11="","",VLOOKUP(D11,Weaponsmith!B:U,5,FALSE))</f>
        <v/>
      </c>
      <c r="K11" s="835"/>
      <c r="L11" s="249" t="str">
        <f>IF(D11="","",VLOOKUP(D11,Weaponsmith!B:U,6,FALSE))</f>
        <v/>
      </c>
      <c r="M11" s="250" t="str">
        <f>IF(D11="","",IF(Syst.&lt;&gt;"Reloaded",VLOOKUP(D11,Weaponsmith!B:U,7,FALSE),VLOOKUP(D11,Weaponsmith!B:U,8,FALSE)))</f>
        <v/>
      </c>
      <c r="N11" s="244" t="str">
        <f>IF(D11="","",CONCATENATE((IF(D11="","",IF(Syst.="Classic",VLOOKUP(D11,Weaponsmith!B:U,9,FALSE),VLOOKUP(D11,Weaponsmith!B:U,10,FALSE)))),IF(AND(Arts_Martiaux=TRUE,B11=3)," +1d",""),IF(AND(Arts_Martiaux=TRUE,B11=3),IF(CChi=TRUE,déAme,déForce),""),IF(AND(Syst.="Classic",Fpc=TRUE,OR(B11=1,B11=3))," +Xd4",IF(AND(Syst.="Reloaded",Fpc=TRUE,OR(B11=1,B11=3))," +Mal dég.",""))))</f>
        <v/>
      </c>
      <c r="O11" s="244" t="str">
        <f>IF(D11="","",VLOOKUP(D11,Weaponsmith!B:U,11,FALSE))</f>
        <v/>
      </c>
      <c r="P11" s="102" t="str">
        <f>IF(D11="","",VLOOKUP(D11,Weaponsmith!B:U,12,FALSE))</f>
        <v/>
      </c>
      <c r="Q11" s="102" t="str">
        <f>IF(D11="","",VLOOKUP(D11,Weaponsmith!B:U,13,FALSE))</f>
        <v/>
      </c>
      <c r="R11" s="102" t="str">
        <f>IF(D11="","",VLOOKUP(D11,Weaponsmith!B:U,14,FALSE))</f>
        <v/>
      </c>
      <c r="S11" s="199" t="str">
        <f>IF(D11="","",VLOOKUP(D11,Weaponsmith!B:U,15,FALSE))</f>
        <v/>
      </c>
      <c r="T11" s="199" t="str">
        <f>IF(D11="","",VLOOKUP(D11,Weaponsmith!B:U,16,FALSE))</f>
        <v/>
      </c>
      <c r="U11" s="199" t="str">
        <f>IF(D11="","",VLOOKUP(D11,Weaponsmith!B:U,17,FALSE))</f>
        <v/>
      </c>
      <c r="V11" s="272" t="str">
        <f>IF(D11="","",VLOOKUP(D11,Weaponsmith!B:U,19,FALSE))</f>
        <v/>
      </c>
      <c r="W11" s="273" t="str">
        <f>IF(D11="","",VLOOKUP(D11,Weaponsmith!B:U,20,FALSE))</f>
        <v/>
      </c>
      <c r="X11" s="255"/>
    </row>
    <row r="12" spans="2:24" ht="8.25" customHeight="1" x14ac:dyDescent="0.3"/>
    <row r="13" spans="2:24" ht="17.399999999999999" hidden="1" x14ac:dyDescent="0.4">
      <c r="C13" s="869" t="s">
        <v>3963</v>
      </c>
      <c r="D13" s="870"/>
      <c r="E13" s="871"/>
      <c r="G13" s="880" t="s">
        <v>1271</v>
      </c>
      <c r="H13" s="881"/>
      <c r="I13" s="881"/>
      <c r="J13" s="881"/>
      <c r="K13" s="881"/>
      <c r="L13" s="881"/>
      <c r="M13" s="881"/>
      <c r="N13" s="882"/>
      <c r="P13" s="901" t="s">
        <v>1272</v>
      </c>
      <c r="Q13" s="902"/>
      <c r="R13" s="902"/>
      <c r="S13" s="902"/>
      <c r="T13" s="902"/>
      <c r="U13" s="902"/>
      <c r="V13" s="903"/>
    </row>
    <row r="14" spans="2:24" ht="12.6" hidden="1" customHeight="1" thickBot="1" x14ac:dyDescent="0.35">
      <c r="C14" s="110" t="s">
        <v>2920</v>
      </c>
      <c r="D14" s="867" t="s">
        <v>1270</v>
      </c>
      <c r="E14" s="868"/>
      <c r="G14" s="885" t="s">
        <v>2</v>
      </c>
      <c r="H14" s="886"/>
      <c r="I14" s="83">
        <f>Taille_Calc*1</f>
        <v>6</v>
      </c>
      <c r="J14" s="500">
        <f>Taille_Calc*2</f>
        <v>12</v>
      </c>
      <c r="K14" s="501"/>
      <c r="L14" s="83">
        <f>Taille_Calc*3</f>
        <v>18</v>
      </c>
      <c r="M14" s="83">
        <f>Taille_Calc*4</f>
        <v>24</v>
      </c>
      <c r="N14" s="95">
        <f>Taille_Calc*5</f>
        <v>30</v>
      </c>
      <c r="O14" s="1"/>
      <c r="P14" s="111"/>
      <c r="V14" s="53"/>
    </row>
    <row r="15" spans="2:24" ht="12.6" hidden="1" customHeight="1" thickBot="1" x14ac:dyDescent="0.35">
      <c r="C15" s="110" t="s">
        <v>1268</v>
      </c>
      <c r="D15" s="569" t="s">
        <v>1275</v>
      </c>
      <c r="E15" s="866"/>
      <c r="G15" s="885" t="s">
        <v>1257</v>
      </c>
      <c r="H15" s="886"/>
      <c r="I15" s="85" t="s">
        <v>1260</v>
      </c>
      <c r="J15" s="897" t="s">
        <v>1261</v>
      </c>
      <c r="K15" s="898"/>
      <c r="L15" s="85" t="s">
        <v>1262</v>
      </c>
      <c r="M15" s="85" t="s">
        <v>1263</v>
      </c>
      <c r="N15" s="99" t="s">
        <v>1264</v>
      </c>
      <c r="O15" s="1"/>
      <c r="P15" s="111"/>
      <c r="S15" s="54"/>
      <c r="V15" s="53"/>
    </row>
    <row r="16" spans="2:24" ht="12.6" hidden="1" customHeight="1" thickBot="1" x14ac:dyDescent="0.35">
      <c r="C16" s="110" t="s">
        <v>2921</v>
      </c>
      <c r="D16" s="569" t="s">
        <v>1276</v>
      </c>
      <c r="E16" s="866"/>
      <c r="G16" s="885" t="s">
        <v>1259</v>
      </c>
      <c r="H16" s="886"/>
      <c r="I16" s="83">
        <f>IF(DàC=TRUE,0,-1)-IF(Douillet=TRUE,1,0)</f>
        <v>-1</v>
      </c>
      <c r="J16" s="500">
        <f>IF(DàC=TRUE,-1,-2)-IF(Douillet=TRUE,1,0)</f>
        <v>-2</v>
      </c>
      <c r="K16" s="501"/>
      <c r="L16" s="83">
        <f>IF(DàC=TRUE,-2,-3)-IF(Douillet=TRUE,1,0)</f>
        <v>-3</v>
      </c>
      <c r="M16" s="83">
        <f>IF(DàC=TRUE,-3,-4)-IF(Douillet=TRUE,1,0)</f>
        <v>-4</v>
      </c>
      <c r="N16" s="95">
        <f>IF(DàC=TRUE,-4,-5)-IF(Douillet=TRUE,1,0)</f>
        <v>-5</v>
      </c>
      <c r="P16" s="111"/>
      <c r="S16" s="92" t="s">
        <v>1256</v>
      </c>
      <c r="V16" s="53"/>
    </row>
    <row r="17" spans="3:22" ht="12.6" hidden="1" customHeight="1" thickBot="1" x14ac:dyDescent="0.35">
      <c r="C17" s="110" t="s">
        <v>1268</v>
      </c>
      <c r="D17" s="569" t="s">
        <v>1269</v>
      </c>
      <c r="E17" s="866"/>
      <c r="G17" s="887" t="s">
        <v>1258</v>
      </c>
      <c r="H17" s="888"/>
      <c r="I17" s="891"/>
      <c r="J17" s="893"/>
      <c r="K17" s="894"/>
      <c r="L17" s="891" t="s">
        <v>1265</v>
      </c>
      <c r="M17" s="891" t="s">
        <v>1266</v>
      </c>
      <c r="N17" s="883" t="s">
        <v>1267</v>
      </c>
      <c r="P17" s="111"/>
      <c r="Q17" s="54"/>
      <c r="U17" s="54"/>
      <c r="V17" s="53"/>
    </row>
    <row r="18" spans="3:22" ht="17.25" hidden="1" customHeight="1" thickBot="1" x14ac:dyDescent="0.35">
      <c r="C18" s="293">
        <v>-4</v>
      </c>
      <c r="D18" s="863" t="s">
        <v>3964</v>
      </c>
      <c r="E18" s="864"/>
      <c r="G18" s="889"/>
      <c r="H18" s="890"/>
      <c r="I18" s="892"/>
      <c r="J18" s="895"/>
      <c r="K18" s="896"/>
      <c r="L18" s="892"/>
      <c r="M18" s="892"/>
      <c r="N18" s="884"/>
      <c r="P18" s="111"/>
      <c r="Q18" s="165" t="s">
        <v>1362</v>
      </c>
      <c r="R18" s="1"/>
      <c r="S18" s="861">
        <v>20</v>
      </c>
      <c r="T18" s="1"/>
      <c r="U18" s="165" t="s">
        <v>1363</v>
      </c>
      <c r="V18" s="53"/>
    </row>
    <row r="19" spans="3:22" ht="14.4" hidden="1" customHeight="1" thickBot="1" x14ac:dyDescent="0.35">
      <c r="C19" s="290">
        <v>-2</v>
      </c>
      <c r="D19" s="872" t="s">
        <v>4916</v>
      </c>
      <c r="E19" s="873"/>
      <c r="G19" s="291"/>
      <c r="H19" s="291"/>
      <c r="I19" s="292"/>
      <c r="J19" s="292"/>
      <c r="K19" s="292"/>
      <c r="L19" s="292"/>
      <c r="M19" s="292"/>
      <c r="N19" s="292"/>
      <c r="P19" s="111"/>
      <c r="Q19" s="1"/>
      <c r="R19" s="1"/>
      <c r="S19" s="862"/>
      <c r="T19" s="1"/>
      <c r="U19" s="1"/>
      <c r="V19" s="53"/>
    </row>
    <row r="20" spans="3:22" ht="13.2" hidden="1" customHeight="1" thickBot="1" x14ac:dyDescent="0.35">
      <c r="I20" s="78"/>
      <c r="J20" s="78"/>
      <c r="K20" s="78"/>
      <c r="L20" s="79"/>
      <c r="M20" s="79"/>
      <c r="N20" s="79"/>
      <c r="P20" s="111"/>
      <c r="Q20" s="58"/>
      <c r="R20" s="156">
        <v>17</v>
      </c>
      <c r="T20" s="157">
        <v>18</v>
      </c>
      <c r="U20" s="58"/>
      <c r="V20" s="53"/>
    </row>
    <row r="21" spans="3:22" ht="18" hidden="1" thickBot="1" x14ac:dyDescent="0.45">
      <c r="D21" s="880" t="s">
        <v>1273</v>
      </c>
      <c r="E21" s="881"/>
      <c r="F21" s="881"/>
      <c r="G21" s="881"/>
      <c r="H21" s="881"/>
      <c r="I21" s="926"/>
      <c r="J21" s="905" t="s">
        <v>1274</v>
      </c>
      <c r="K21" s="906"/>
      <c r="L21" s="906"/>
      <c r="M21" s="906"/>
      <c r="N21" s="115">
        <f>'Perso Classic'!Z45</f>
        <v>4</v>
      </c>
      <c r="P21" s="111"/>
      <c r="Q21" s="861">
        <v>12</v>
      </c>
      <c r="R21" s="58"/>
      <c r="S21" s="58">
        <v>19</v>
      </c>
      <c r="T21" s="58"/>
      <c r="U21" s="861">
        <v>13</v>
      </c>
      <c r="V21" s="53"/>
    </row>
    <row r="22" spans="3:22" ht="11.25" hidden="1" customHeight="1" x14ac:dyDescent="0.3">
      <c r="D22" s="116">
        <v>1</v>
      </c>
      <c r="E22" s="81">
        <v>2</v>
      </c>
      <c r="F22" s="81">
        <v>3</v>
      </c>
      <c r="G22" s="81">
        <v>4</v>
      </c>
      <c r="H22" s="81">
        <f>IF($N$21=0,1,5)</f>
        <v>5</v>
      </c>
      <c r="I22" s="81">
        <f>IF($N$21=0,1,6)</f>
        <v>6</v>
      </c>
      <c r="J22" s="924">
        <f>IF($N$21=0,1,7)</f>
        <v>7</v>
      </c>
      <c r="K22" s="925"/>
      <c r="L22" s="81">
        <f>IF($N$21=0,1,8)</f>
        <v>8</v>
      </c>
      <c r="M22" s="81">
        <f>IF($N$21=0,1,9)</f>
        <v>9</v>
      </c>
      <c r="N22" s="117">
        <f>IF($N$21=0,1,10)</f>
        <v>10</v>
      </c>
      <c r="P22" s="111"/>
      <c r="Q22" s="540"/>
      <c r="R22" s="58">
        <v>15</v>
      </c>
      <c r="S22" s="899"/>
      <c r="T22" s="58">
        <v>16</v>
      </c>
      <c r="U22" s="540"/>
      <c r="V22" s="53"/>
    </row>
    <row r="23" spans="3:22" ht="11.25" hidden="1" customHeight="1" thickBot="1" x14ac:dyDescent="0.35">
      <c r="D23" s="116">
        <f>IF($N$21=0,1,11)</f>
        <v>11</v>
      </c>
      <c r="E23" s="81">
        <f>IF($N$21=0,1,12)</f>
        <v>12</v>
      </c>
      <c r="F23" s="81">
        <f>IF($N$21=0,1,13)</f>
        <v>13</v>
      </c>
      <c r="G23" s="81">
        <f>IF($N$21=0,1,14)</f>
        <v>14</v>
      </c>
      <c r="H23" s="81">
        <f>IF($N$21=0,1,15)</f>
        <v>15</v>
      </c>
      <c r="I23" s="81">
        <f>IF($N$21=0,1,16)</f>
        <v>16</v>
      </c>
      <c r="J23" s="924">
        <f>IF($N$21=0,1,17)</f>
        <v>17</v>
      </c>
      <c r="K23" s="925"/>
      <c r="L23" s="81">
        <f>IF($N$21=0,1,18)</f>
        <v>18</v>
      </c>
      <c r="M23" s="81">
        <f>IF($N$21=0,1,19)</f>
        <v>19</v>
      </c>
      <c r="N23" s="117">
        <f>IF($N$21=0,1,20)</f>
        <v>20</v>
      </c>
      <c r="P23" s="111"/>
      <c r="Q23" s="862"/>
      <c r="R23" s="58"/>
      <c r="S23" s="900"/>
      <c r="T23" s="58"/>
      <c r="U23" s="862"/>
      <c r="V23" s="53"/>
    </row>
    <row r="24" spans="3:22" ht="11.25" hidden="1" customHeight="1" x14ac:dyDescent="0.3">
      <c r="D24" s="116">
        <f>IF($N$21=0,1,21)</f>
        <v>21</v>
      </c>
      <c r="E24" s="81">
        <f>IF($N$21=0,1,22)</f>
        <v>22</v>
      </c>
      <c r="F24" s="81">
        <f>IF($N$21=0,1,23)</f>
        <v>23</v>
      </c>
      <c r="G24" s="81">
        <f>IF($N$21=0,1,24)</f>
        <v>24</v>
      </c>
      <c r="H24" s="81">
        <f>IF($N$21=0,1,25)</f>
        <v>25</v>
      </c>
      <c r="I24" s="81">
        <f>IF($N$21=0,1,26)</f>
        <v>26</v>
      </c>
      <c r="J24" s="924">
        <f>IF($N$21=0,1,27)</f>
        <v>27</v>
      </c>
      <c r="K24" s="925"/>
      <c r="L24" s="81">
        <f>IF($N$21=0,1,28)</f>
        <v>28</v>
      </c>
      <c r="M24" s="81">
        <f>IF($N$21=0,1,29)</f>
        <v>29</v>
      </c>
      <c r="N24" s="117">
        <f>IF($N$21=0,1,30)</f>
        <v>30</v>
      </c>
      <c r="P24" s="111"/>
      <c r="Q24" s="285">
        <v>11</v>
      </c>
      <c r="R24" s="158">
        <v>7</v>
      </c>
      <c r="S24" s="283" t="s">
        <v>1255</v>
      </c>
      <c r="T24" s="159">
        <v>8</v>
      </c>
      <c r="U24" s="285">
        <v>14</v>
      </c>
      <c r="V24" s="53"/>
    </row>
    <row r="25" spans="3:22" ht="11.25" hidden="1" customHeight="1" x14ac:dyDescent="0.3">
      <c r="C25" s="1"/>
      <c r="D25" s="116">
        <f>IF($N$21=0,1,31)</f>
        <v>31</v>
      </c>
      <c r="E25" s="81">
        <f>IF($N$21=0,1,32)</f>
        <v>32</v>
      </c>
      <c r="F25" s="81">
        <f>IF($N$21=0,1,33)</f>
        <v>33</v>
      </c>
      <c r="G25" s="81">
        <f>IF($N$21=0,1,34)</f>
        <v>34</v>
      </c>
      <c r="H25" s="81">
        <f>IF($N$21=0,1,35)</f>
        <v>35</v>
      </c>
      <c r="I25" s="81">
        <f>IF($N$21=0,1,36)</f>
        <v>36</v>
      </c>
      <c r="J25" s="924">
        <f>IF($N$21=0,1,37)</f>
        <v>37</v>
      </c>
      <c r="K25" s="925"/>
      <c r="L25" s="81">
        <f>IF($N$21=0,1,38)</f>
        <v>38</v>
      </c>
      <c r="M25" s="81">
        <f>IF($N$21=0,1,39)</f>
        <v>39</v>
      </c>
      <c r="N25" s="117">
        <f>IF($N$21=0,1,40)</f>
        <v>40</v>
      </c>
      <c r="P25" s="111"/>
      <c r="Q25" s="58"/>
      <c r="R25" s="158"/>
      <c r="S25" s="162">
        <v>9</v>
      </c>
      <c r="T25" s="159"/>
      <c r="U25" s="58"/>
      <c r="V25" s="53"/>
    </row>
    <row r="26" spans="3:22" ht="11.25" hidden="1" customHeight="1" thickBot="1" x14ac:dyDescent="0.35">
      <c r="D26" s="118">
        <f>IF($N$21=0,1,41)</f>
        <v>41</v>
      </c>
      <c r="E26" s="119">
        <f>IF($N$21=0,1,42)</f>
        <v>42</v>
      </c>
      <c r="F26" s="119">
        <f>IF($N$21=0,1,43)</f>
        <v>43</v>
      </c>
      <c r="G26" s="119">
        <f>IF($N$21=0,1,44)</f>
        <v>44</v>
      </c>
      <c r="H26" s="119">
        <f>IF($N$21=0,1,45)</f>
        <v>45</v>
      </c>
      <c r="I26" s="119">
        <f>IF($N$21=0,1,46)</f>
        <v>46</v>
      </c>
      <c r="J26" s="922">
        <f>IF($N$21=0,1,77)</f>
        <v>77</v>
      </c>
      <c r="K26" s="923"/>
      <c r="L26" s="119">
        <f>IF($N$21=0,1,48)</f>
        <v>48</v>
      </c>
      <c r="M26" s="119">
        <f>IF($N$21=0,1,49)</f>
        <v>49</v>
      </c>
      <c r="N26" s="120">
        <f>IF($N$21=0,1,50)</f>
        <v>50</v>
      </c>
      <c r="P26" s="111"/>
      <c r="Q26" s="58"/>
      <c r="R26" s="158">
        <v>5</v>
      </c>
      <c r="S26" s="163"/>
      <c r="T26" s="159">
        <v>6</v>
      </c>
      <c r="U26" s="58"/>
      <c r="V26" s="53"/>
    </row>
    <row r="27" spans="3:22" ht="8.4" hidden="1" customHeight="1" thickBot="1" x14ac:dyDescent="0.35">
      <c r="P27" s="111"/>
      <c r="Q27" s="58"/>
      <c r="R27" s="861">
        <v>2</v>
      </c>
      <c r="S27" s="58"/>
      <c r="T27" s="861">
        <v>4</v>
      </c>
      <c r="U27" s="58"/>
      <c r="V27" s="53"/>
    </row>
    <row r="28" spans="3:22" ht="13.2" hidden="1" customHeight="1" thickBot="1" x14ac:dyDescent="0.35">
      <c r="C28" s="907" t="s">
        <v>1430</v>
      </c>
      <c r="D28" s="908"/>
      <c r="E28" s="908"/>
      <c r="F28" s="908"/>
      <c r="G28" s="908"/>
      <c r="H28" s="22"/>
      <c r="I28" s="582" t="s">
        <v>2314</v>
      </c>
      <c r="J28" s="909">
        <f>IF(Calc!U84=TRUE,1,IF(Calc!U85=TRUE,3,IF(Calc!U87=TRUE,4,IF(Calc!U86=TRUE,2,0))))</f>
        <v>0</v>
      </c>
      <c r="L28" s="920" t="s">
        <v>1498</v>
      </c>
      <c r="M28" s="921"/>
      <c r="N28" s="169"/>
      <c r="P28" s="111"/>
      <c r="Q28" s="1"/>
      <c r="R28" s="540"/>
      <c r="S28" s="1"/>
      <c r="T28" s="540"/>
      <c r="U28" s="1"/>
      <c r="V28" s="53"/>
    </row>
    <row r="29" spans="3:22" ht="13.5" hidden="1" customHeight="1" thickBot="1" x14ac:dyDescent="0.35">
      <c r="C29" s="911"/>
      <c r="D29" s="912"/>
      <c r="E29" s="912"/>
      <c r="F29" s="912"/>
      <c r="G29" s="913"/>
      <c r="H29" s="132"/>
      <c r="I29" s="583"/>
      <c r="J29" s="910"/>
      <c r="L29" s="105">
        <v>3</v>
      </c>
      <c r="M29" s="99" t="s">
        <v>2315</v>
      </c>
      <c r="N29" s="167"/>
      <c r="P29" s="111"/>
      <c r="Q29" s="1"/>
      <c r="R29" s="540"/>
      <c r="S29" s="1"/>
      <c r="T29" s="540"/>
      <c r="U29" s="1"/>
      <c r="V29" s="53"/>
    </row>
    <row r="30" spans="3:22" ht="13.5" hidden="1" customHeight="1" thickBot="1" x14ac:dyDescent="0.35">
      <c r="C30" s="914"/>
      <c r="D30" s="915"/>
      <c r="E30" s="915"/>
      <c r="F30" s="915"/>
      <c r="G30" s="916"/>
      <c r="H30" s="132"/>
      <c r="I30" s="133"/>
      <c r="L30" s="105">
        <v>5</v>
      </c>
      <c r="M30" s="99" t="s">
        <v>1260</v>
      </c>
      <c r="N30" s="167"/>
      <c r="P30" s="111"/>
      <c r="Q30" s="286"/>
      <c r="R30" s="862"/>
      <c r="S30" s="1"/>
      <c r="T30" s="862"/>
      <c r="U30" s="284"/>
      <c r="V30" s="53"/>
    </row>
    <row r="31" spans="3:22" ht="13.5" hidden="1" customHeight="1" x14ac:dyDescent="0.3">
      <c r="C31" s="914"/>
      <c r="D31" s="915"/>
      <c r="E31" s="915"/>
      <c r="F31" s="915"/>
      <c r="G31" s="916"/>
      <c r="H31" s="132"/>
      <c r="I31" s="582" t="s">
        <v>1555</v>
      </c>
      <c r="J31" s="584"/>
      <c r="L31" s="105">
        <v>7</v>
      </c>
      <c r="M31" s="99" t="s">
        <v>1261</v>
      </c>
      <c r="N31" s="167"/>
      <c r="P31" s="111"/>
      <c r="Q31" s="165" t="s">
        <v>1364</v>
      </c>
      <c r="R31" s="77">
        <v>1</v>
      </c>
      <c r="S31" s="1"/>
      <c r="T31" s="77">
        <v>3</v>
      </c>
      <c r="U31" s="165" t="s">
        <v>1365</v>
      </c>
      <c r="V31" s="53"/>
    </row>
    <row r="32" spans="3:22" ht="18" hidden="1" customHeight="1" thickBot="1" x14ac:dyDescent="0.35">
      <c r="C32" s="914"/>
      <c r="D32" s="915"/>
      <c r="E32" s="915"/>
      <c r="F32" s="915"/>
      <c r="G32" s="916"/>
      <c r="H32" s="132"/>
      <c r="I32" s="583"/>
      <c r="J32" s="585"/>
      <c r="L32" s="105">
        <v>9</v>
      </c>
      <c r="M32" s="99" t="s">
        <v>1262</v>
      </c>
      <c r="N32" s="167"/>
      <c r="P32" s="112"/>
      <c r="Q32" s="113"/>
      <c r="R32" s="904" t="s">
        <v>2471</v>
      </c>
      <c r="S32" s="904"/>
      <c r="T32" s="904"/>
      <c r="U32" s="113"/>
      <c r="V32" s="114"/>
    </row>
    <row r="33" spans="3:14" ht="13.5" hidden="1" customHeight="1" x14ac:dyDescent="0.3">
      <c r="C33" s="914"/>
      <c r="D33" s="915"/>
      <c r="E33" s="915"/>
      <c r="F33" s="915"/>
      <c r="G33" s="916"/>
      <c r="H33" s="132"/>
      <c r="I33" s="132"/>
      <c r="L33" s="105">
        <v>11</v>
      </c>
      <c r="M33" s="99" t="s">
        <v>1263</v>
      </c>
      <c r="N33" s="167"/>
    </row>
    <row r="34" spans="3:14" ht="13.5" hidden="1" customHeight="1" thickBot="1" x14ac:dyDescent="0.35">
      <c r="C34" s="914"/>
      <c r="D34" s="915"/>
      <c r="E34" s="915"/>
      <c r="F34" s="915"/>
      <c r="G34" s="916"/>
      <c r="H34" s="132"/>
      <c r="L34" s="211">
        <v>13</v>
      </c>
      <c r="M34" s="212" t="s">
        <v>1264</v>
      </c>
      <c r="N34" s="168"/>
    </row>
    <row r="35" spans="3:14" ht="13.5" hidden="1" customHeight="1" thickBot="1" x14ac:dyDescent="0.35">
      <c r="C35" s="917"/>
      <c r="D35" s="918"/>
      <c r="E35" s="918"/>
      <c r="F35" s="918"/>
      <c r="G35" s="919"/>
    </row>
    <row r="36" spans="3:14" ht="8.25" hidden="1" customHeight="1" x14ac:dyDescent="0.3"/>
    <row r="37" spans="3:14" ht="13.95" customHeight="1" x14ac:dyDescent="0.3"/>
    <row r="38" spans="3:14" ht="13.95" customHeight="1" x14ac:dyDescent="0.3"/>
    <row r="39" spans="3:14" ht="7.95" customHeight="1" x14ac:dyDescent="0.3"/>
    <row r="40" spans="3:14" ht="15" customHeight="1" x14ac:dyDescent="0.3"/>
    <row r="41" spans="3:14" ht="15" customHeight="1" x14ac:dyDescent="0.3"/>
    <row r="42" spans="3:14" ht="15" customHeight="1" x14ac:dyDescent="0.3"/>
    <row r="43" spans="3:14" ht="15" customHeight="1" x14ac:dyDescent="0.3"/>
    <row r="44" spans="3:14" ht="15" customHeight="1" x14ac:dyDescent="0.3"/>
  </sheetData>
  <mergeCells count="62">
    <mergeCell ref="R32:T32"/>
    <mergeCell ref="J21:M21"/>
    <mergeCell ref="I28:I29"/>
    <mergeCell ref="C28:G28"/>
    <mergeCell ref="J28:J29"/>
    <mergeCell ref="C29:G35"/>
    <mergeCell ref="L28:M28"/>
    <mergeCell ref="I31:I32"/>
    <mergeCell ref="J26:K26"/>
    <mergeCell ref="J22:K22"/>
    <mergeCell ref="J23:K23"/>
    <mergeCell ref="D21:I21"/>
    <mergeCell ref="J31:J32"/>
    <mergeCell ref="J24:K24"/>
    <mergeCell ref="J25:K25"/>
    <mergeCell ref="U21:U23"/>
    <mergeCell ref="G13:N13"/>
    <mergeCell ref="J10:K10"/>
    <mergeCell ref="N17:N18"/>
    <mergeCell ref="G14:H14"/>
    <mergeCell ref="G15:H15"/>
    <mergeCell ref="G16:H16"/>
    <mergeCell ref="G17:H18"/>
    <mergeCell ref="I17:I18"/>
    <mergeCell ref="L17:L18"/>
    <mergeCell ref="M17:M18"/>
    <mergeCell ref="J16:K16"/>
    <mergeCell ref="J17:K18"/>
    <mergeCell ref="J15:K15"/>
    <mergeCell ref="S22:S23"/>
    <mergeCell ref="P13:V13"/>
    <mergeCell ref="C2:W2"/>
    <mergeCell ref="J9:K9"/>
    <mergeCell ref="D10:F10"/>
    <mergeCell ref="D8:F8"/>
    <mergeCell ref="D6:F6"/>
    <mergeCell ref="H3:I3"/>
    <mergeCell ref="D3:F3"/>
    <mergeCell ref="D5:F5"/>
    <mergeCell ref="J3:K3"/>
    <mergeCell ref="J4:K4"/>
    <mergeCell ref="J5:K5"/>
    <mergeCell ref="J7:K7"/>
    <mergeCell ref="J8:K8"/>
    <mergeCell ref="J6:K6"/>
    <mergeCell ref="D4:F4"/>
    <mergeCell ref="D7:F7"/>
    <mergeCell ref="D9:F9"/>
    <mergeCell ref="S18:S19"/>
    <mergeCell ref="D18:E18"/>
    <mergeCell ref="T27:T30"/>
    <mergeCell ref="R27:R30"/>
    <mergeCell ref="D11:F11"/>
    <mergeCell ref="J14:K14"/>
    <mergeCell ref="Q21:Q23"/>
    <mergeCell ref="D17:E17"/>
    <mergeCell ref="D14:E14"/>
    <mergeCell ref="D16:E16"/>
    <mergeCell ref="D15:E15"/>
    <mergeCell ref="J11:K11"/>
    <mergeCell ref="C13:E13"/>
    <mergeCell ref="D19:E19"/>
  </mergeCells>
  <conditionalFormatting sqref="D22:J26 L22:N26">
    <cfRule type="cellIs" dxfId="0" priority="1" operator="greaterThan">
      <formula>$N$21</formula>
    </cfRule>
  </conditionalFormatting>
  <dataValidations count="3">
    <dataValidation type="list" allowBlank="1" showInputMessage="1" showErrorMessage="1" sqref="C4:C11" xr:uid="{00000000-0002-0000-0500-000000000000}">
      <formula1>Typ_Arm</formula1>
    </dataValidation>
    <dataValidation type="list" allowBlank="1" showInputMessage="1" showErrorMessage="1" sqref="D4:D11 E4:F5 E7:F11" xr:uid="{00000000-0002-0000-0500-000001000000}">
      <formula1>IF(B4=1,Chi,IF(B4=2,Can,IF(B4=3,Càc,IF(B4=4,Der,IF(B4=5,Ep,IF(B4=6,Ex,IF(B4=7,Fus,IF(B4=8,Gat,IF(B4=9,Pda,IF(B4=10,Psa,IF(B4=11,Sho,IF(B4=12,Tir,""))))))))))))</formula1>
    </dataValidation>
    <dataValidation type="list" allowBlank="1" showInputMessage="1" showErrorMessage="1" sqref="S15 Q17 U17 U30 Q30" xr:uid="{00000000-0002-0000-0500-000002000000}">
      <formula1>Blessures</formula1>
    </dataValidation>
  </dataValidations>
  <pageMargins left="0.23622047244094491" right="0.23622047244094491" top="0.35433070866141736" bottom="0.35433070866141736" header="0.31496062992125984" footer="0.31496062992125984"/>
  <pageSetup paperSize="9" orientation="landscape" r:id="rId1"/>
  <ignoredErrors>
    <ignoredError sqref="C15 C1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tabColor rgb="FFFF0000"/>
  </sheetPr>
  <dimension ref="A1:H569"/>
  <sheetViews>
    <sheetView workbookViewId="0">
      <pane ySplit="1" topLeftCell="A326" activePane="bottomLeft" state="frozen"/>
      <selection activeCell="C147" activeCellId="1" sqref="G280 C147"/>
      <selection pane="bottomLeft" activeCell="A330" sqref="A330"/>
    </sheetView>
  </sheetViews>
  <sheetFormatPr baseColWidth="10" defaultRowHeight="14.4" x14ac:dyDescent="0.3"/>
  <cols>
    <col min="1" max="1" width="41.88671875" customWidth="1"/>
    <col min="2" max="2" width="19" customWidth="1"/>
    <col min="3" max="3" width="8.109375" customWidth="1"/>
    <col min="4" max="4" width="7.109375" customWidth="1"/>
  </cols>
  <sheetData>
    <row r="1" spans="1:4" s="63" customFormat="1" x14ac:dyDescent="0.3">
      <c r="A1" s="63" t="s">
        <v>0</v>
      </c>
      <c r="B1" s="63" t="s">
        <v>396</v>
      </c>
      <c r="C1" s="63" t="s">
        <v>356</v>
      </c>
      <c r="D1" s="63" t="s">
        <v>214</v>
      </c>
    </row>
    <row r="2" spans="1:4" x14ac:dyDescent="0.3">
      <c r="A2" t="s">
        <v>893</v>
      </c>
      <c r="B2" t="s">
        <v>581</v>
      </c>
      <c r="C2">
        <v>0</v>
      </c>
      <c r="D2">
        <v>1</v>
      </c>
    </row>
    <row r="3" spans="1:4" x14ac:dyDescent="0.3">
      <c r="A3" t="s">
        <v>586</v>
      </c>
      <c r="B3" t="s">
        <v>581</v>
      </c>
      <c r="C3">
        <v>0</v>
      </c>
      <c r="D3">
        <v>2</v>
      </c>
    </row>
    <row r="4" spans="1:4" x14ac:dyDescent="0.3">
      <c r="A4" t="s">
        <v>900</v>
      </c>
      <c r="B4" t="s">
        <v>581</v>
      </c>
      <c r="C4">
        <v>2</v>
      </c>
      <c r="D4">
        <v>0.3</v>
      </c>
    </row>
    <row r="5" spans="1:4" x14ac:dyDescent="0.3">
      <c r="A5" t="s">
        <v>1582</v>
      </c>
      <c r="B5" t="s">
        <v>581</v>
      </c>
      <c r="C5">
        <v>2.5</v>
      </c>
      <c r="D5">
        <v>500</v>
      </c>
    </row>
    <row r="6" spans="1:4" x14ac:dyDescent="0.3">
      <c r="A6" t="s">
        <v>1582</v>
      </c>
      <c r="B6" t="s">
        <v>581</v>
      </c>
      <c r="C6">
        <v>4</v>
      </c>
      <c r="D6">
        <v>800</v>
      </c>
    </row>
    <row r="7" spans="1:4" x14ac:dyDescent="0.3">
      <c r="A7" t="s">
        <v>945</v>
      </c>
      <c r="B7" t="s">
        <v>581</v>
      </c>
      <c r="C7">
        <v>0.5</v>
      </c>
      <c r="D7">
        <v>0.1</v>
      </c>
    </row>
    <row r="8" spans="1:4" x14ac:dyDescent="0.3">
      <c r="A8" t="s">
        <v>1583</v>
      </c>
      <c r="B8" t="s">
        <v>581</v>
      </c>
      <c r="C8">
        <v>3</v>
      </c>
      <c r="D8">
        <v>200</v>
      </c>
    </row>
    <row r="9" spans="1:4" x14ac:dyDescent="0.3">
      <c r="A9" t="s">
        <v>1584</v>
      </c>
      <c r="B9" t="s">
        <v>581</v>
      </c>
      <c r="C9">
        <v>3</v>
      </c>
      <c r="D9">
        <v>250</v>
      </c>
    </row>
    <row r="10" spans="1:4" x14ac:dyDescent="0.3">
      <c r="A10" t="s">
        <v>904</v>
      </c>
      <c r="B10" t="s">
        <v>581</v>
      </c>
      <c r="C10">
        <v>2</v>
      </c>
      <c r="D10">
        <v>0.2</v>
      </c>
    </row>
    <row r="11" spans="1:4" x14ac:dyDescent="0.3">
      <c r="A11" t="s">
        <v>4849</v>
      </c>
      <c r="B11" t="s">
        <v>581</v>
      </c>
      <c r="C11">
        <v>5</v>
      </c>
      <c r="D11">
        <v>0.1</v>
      </c>
    </row>
    <row r="12" spans="1:4" x14ac:dyDescent="0.3">
      <c r="A12" t="s">
        <v>582</v>
      </c>
      <c r="B12" t="s">
        <v>581</v>
      </c>
      <c r="C12">
        <v>0</v>
      </c>
      <c r="D12">
        <v>1.5</v>
      </c>
    </row>
    <row r="13" spans="1:4" x14ac:dyDescent="0.3">
      <c r="A13" t="s">
        <v>584</v>
      </c>
      <c r="B13" t="s">
        <v>581</v>
      </c>
      <c r="C13">
        <v>0</v>
      </c>
      <c r="D13">
        <v>3</v>
      </c>
    </row>
    <row r="14" spans="1:4" x14ac:dyDescent="0.3">
      <c r="A14" t="s">
        <v>932</v>
      </c>
      <c r="B14" t="s">
        <v>581</v>
      </c>
      <c r="C14">
        <v>0</v>
      </c>
      <c r="D14">
        <v>1</v>
      </c>
    </row>
    <row r="15" spans="1:4" x14ac:dyDescent="0.3">
      <c r="A15" t="s">
        <v>585</v>
      </c>
      <c r="B15" t="s">
        <v>581</v>
      </c>
      <c r="C15">
        <v>0</v>
      </c>
      <c r="D15">
        <v>3.5</v>
      </c>
    </row>
    <row r="16" spans="1:4" x14ac:dyDescent="0.3">
      <c r="A16" t="s">
        <v>583</v>
      </c>
      <c r="B16" t="s">
        <v>581</v>
      </c>
      <c r="C16">
        <v>0</v>
      </c>
      <c r="D16">
        <v>5</v>
      </c>
    </row>
    <row r="17" spans="1:4" x14ac:dyDescent="0.3">
      <c r="A17" t="s">
        <v>620</v>
      </c>
      <c r="B17" t="s">
        <v>921</v>
      </c>
      <c r="C17">
        <v>2</v>
      </c>
      <c r="D17">
        <v>0.1</v>
      </c>
    </row>
    <row r="18" spans="1:4" x14ac:dyDescent="0.3">
      <c r="A18" t="s">
        <v>621</v>
      </c>
      <c r="B18" t="s">
        <v>921</v>
      </c>
      <c r="C18">
        <v>0.5</v>
      </c>
      <c r="D18">
        <v>0.3</v>
      </c>
    </row>
    <row r="19" spans="1:4" x14ac:dyDescent="0.3">
      <c r="A19" t="s">
        <v>622</v>
      </c>
      <c r="B19" t="s">
        <v>921</v>
      </c>
      <c r="C19">
        <v>0.5</v>
      </c>
      <c r="D19">
        <v>0.15</v>
      </c>
    </row>
    <row r="20" spans="1:4" x14ac:dyDescent="0.3">
      <c r="A20" t="s">
        <v>1417</v>
      </c>
      <c r="B20" t="s">
        <v>921</v>
      </c>
      <c r="C20">
        <v>0.5</v>
      </c>
      <c r="D20">
        <v>1</v>
      </c>
    </row>
    <row r="21" spans="1:4" x14ac:dyDescent="0.3">
      <c r="A21" t="s">
        <v>623</v>
      </c>
      <c r="B21" t="s">
        <v>921</v>
      </c>
      <c r="C21">
        <v>5</v>
      </c>
      <c r="D21">
        <v>0.05</v>
      </c>
    </row>
    <row r="22" spans="1:4" x14ac:dyDescent="0.3">
      <c r="A22" t="s">
        <v>600</v>
      </c>
      <c r="B22" s="64" t="s">
        <v>921</v>
      </c>
      <c r="C22">
        <v>1.5</v>
      </c>
      <c r="D22">
        <v>0.1</v>
      </c>
    </row>
    <row r="23" spans="1:4" x14ac:dyDescent="0.3">
      <c r="A23" t="s">
        <v>624</v>
      </c>
      <c r="B23" t="s">
        <v>921</v>
      </c>
      <c r="C23">
        <v>12</v>
      </c>
      <c r="D23">
        <v>6</v>
      </c>
    </row>
    <row r="24" spans="1:4" x14ac:dyDescent="0.3">
      <c r="A24" t="s">
        <v>599</v>
      </c>
      <c r="B24" s="64" t="s">
        <v>921</v>
      </c>
      <c r="C24">
        <v>2</v>
      </c>
      <c r="D24">
        <v>2.5</v>
      </c>
    </row>
    <row r="25" spans="1:4" x14ac:dyDescent="0.3">
      <c r="A25" t="s">
        <v>625</v>
      </c>
      <c r="B25" t="s">
        <v>921</v>
      </c>
      <c r="C25">
        <v>5</v>
      </c>
      <c r="D25">
        <v>1</v>
      </c>
    </row>
    <row r="26" spans="1:4" x14ac:dyDescent="0.3">
      <c r="A26" t="s">
        <v>626</v>
      </c>
      <c r="B26" t="s">
        <v>921</v>
      </c>
      <c r="C26">
        <v>1</v>
      </c>
      <c r="D26">
        <v>0.02</v>
      </c>
    </row>
    <row r="27" spans="1:4" x14ac:dyDescent="0.3">
      <c r="A27" t="s">
        <v>627</v>
      </c>
      <c r="B27" t="s">
        <v>921</v>
      </c>
      <c r="C27">
        <v>1</v>
      </c>
      <c r="D27">
        <v>0.05</v>
      </c>
    </row>
    <row r="28" spans="1:4" x14ac:dyDescent="0.3">
      <c r="A28" t="s">
        <v>628</v>
      </c>
      <c r="B28" t="s">
        <v>922</v>
      </c>
      <c r="C28">
        <v>1</v>
      </c>
      <c r="D28">
        <v>0.5</v>
      </c>
    </row>
    <row r="29" spans="1:4" x14ac:dyDescent="0.3">
      <c r="A29" t="s">
        <v>629</v>
      </c>
      <c r="B29" t="s">
        <v>922</v>
      </c>
      <c r="C29">
        <v>0.5</v>
      </c>
      <c r="D29">
        <v>0</v>
      </c>
    </row>
    <row r="30" spans="1:4" x14ac:dyDescent="0.3">
      <c r="A30" t="s">
        <v>630</v>
      </c>
      <c r="B30" t="s">
        <v>922</v>
      </c>
      <c r="C30">
        <v>0.5</v>
      </c>
      <c r="D30">
        <v>0.5</v>
      </c>
    </row>
    <row r="31" spans="1:4" x14ac:dyDescent="0.3">
      <c r="A31" t="s">
        <v>631</v>
      </c>
      <c r="B31" t="s">
        <v>922</v>
      </c>
      <c r="C31">
        <v>0.5</v>
      </c>
      <c r="D31">
        <v>2</v>
      </c>
    </row>
    <row r="32" spans="1:4" x14ac:dyDescent="0.3">
      <c r="A32" t="s">
        <v>632</v>
      </c>
      <c r="B32" t="s">
        <v>922</v>
      </c>
      <c r="C32">
        <v>0.5</v>
      </c>
      <c r="D32">
        <v>1</v>
      </c>
    </row>
    <row r="33" spans="1:5" x14ac:dyDescent="0.3">
      <c r="A33" t="s">
        <v>633</v>
      </c>
      <c r="B33" t="s">
        <v>922</v>
      </c>
      <c r="C33">
        <v>0.5</v>
      </c>
      <c r="D33">
        <v>10</v>
      </c>
    </row>
    <row r="34" spans="1:5" x14ac:dyDescent="0.3">
      <c r="A34" t="s">
        <v>634</v>
      </c>
      <c r="B34" t="s">
        <v>922</v>
      </c>
      <c r="C34">
        <v>2</v>
      </c>
      <c r="D34">
        <v>8.5</v>
      </c>
    </row>
    <row r="35" spans="1:5" x14ac:dyDescent="0.3">
      <c r="A35" t="s">
        <v>635</v>
      </c>
      <c r="B35" t="s">
        <v>922</v>
      </c>
      <c r="C35">
        <v>4</v>
      </c>
      <c r="D35">
        <v>10</v>
      </c>
    </row>
    <row r="36" spans="1:5" x14ac:dyDescent="0.3">
      <c r="A36" t="s">
        <v>636</v>
      </c>
      <c r="B36" t="s">
        <v>922</v>
      </c>
      <c r="C36">
        <v>0</v>
      </c>
      <c r="D36">
        <v>0.3</v>
      </c>
    </row>
    <row r="37" spans="1:5" x14ac:dyDescent="0.3">
      <c r="A37" t="s">
        <v>637</v>
      </c>
      <c r="B37" t="s">
        <v>922</v>
      </c>
      <c r="C37">
        <v>0</v>
      </c>
      <c r="D37">
        <v>0.5</v>
      </c>
    </row>
    <row r="38" spans="1:5" x14ac:dyDescent="0.3">
      <c r="A38" t="s">
        <v>2449</v>
      </c>
      <c r="B38" t="s">
        <v>1305</v>
      </c>
      <c r="C38">
        <v>0</v>
      </c>
      <c r="D38">
        <v>25</v>
      </c>
    </row>
    <row r="39" spans="1:5" x14ac:dyDescent="0.3">
      <c r="A39" t="s">
        <v>2458</v>
      </c>
      <c r="B39" t="s">
        <v>1305</v>
      </c>
      <c r="C39">
        <v>0</v>
      </c>
      <c r="D39">
        <v>200</v>
      </c>
      <c r="E39" t="s">
        <v>2459</v>
      </c>
    </row>
    <row r="40" spans="1:5" x14ac:dyDescent="0.3">
      <c r="A40" t="s">
        <v>4387</v>
      </c>
      <c r="B40" t="s">
        <v>1305</v>
      </c>
      <c r="C40">
        <v>0</v>
      </c>
      <c r="D40">
        <v>200</v>
      </c>
      <c r="E40" t="s">
        <v>4388</v>
      </c>
    </row>
    <row r="41" spans="1:5" x14ac:dyDescent="0.3">
      <c r="A41" t="s">
        <v>4393</v>
      </c>
      <c r="B41" t="s">
        <v>1305</v>
      </c>
      <c r="C41">
        <v>0</v>
      </c>
      <c r="D41">
        <v>90</v>
      </c>
    </row>
    <row r="42" spans="1:5" x14ac:dyDescent="0.3">
      <c r="A42" t="s">
        <v>1290</v>
      </c>
      <c r="B42" t="s">
        <v>1305</v>
      </c>
      <c r="C42">
        <v>0</v>
      </c>
      <c r="D42">
        <v>40</v>
      </c>
    </row>
    <row r="43" spans="1:5" x14ac:dyDescent="0.3">
      <c r="A43" t="s">
        <v>2462</v>
      </c>
      <c r="B43" t="s">
        <v>1305</v>
      </c>
      <c r="C43">
        <v>0</v>
      </c>
      <c r="D43">
        <v>500</v>
      </c>
      <c r="E43" t="s">
        <v>2461</v>
      </c>
    </row>
    <row r="44" spans="1:5" x14ac:dyDescent="0.3">
      <c r="A44" t="s">
        <v>2454</v>
      </c>
      <c r="B44" t="s">
        <v>1305</v>
      </c>
      <c r="C44">
        <v>0</v>
      </c>
      <c r="D44">
        <v>30</v>
      </c>
    </row>
    <row r="45" spans="1:5" x14ac:dyDescent="0.3">
      <c r="A45" t="s">
        <v>1291</v>
      </c>
      <c r="B45" t="s">
        <v>1305</v>
      </c>
      <c r="C45">
        <v>0</v>
      </c>
      <c r="D45">
        <v>70</v>
      </c>
    </row>
    <row r="46" spans="1:5" x14ac:dyDescent="0.3">
      <c r="A46" t="s">
        <v>1292</v>
      </c>
      <c r="B46" t="s">
        <v>1305</v>
      </c>
      <c r="C46">
        <v>0</v>
      </c>
      <c r="D46">
        <v>2000</v>
      </c>
    </row>
    <row r="47" spans="1:5" x14ac:dyDescent="0.3">
      <c r="A47" t="s">
        <v>1293</v>
      </c>
      <c r="B47" t="s">
        <v>1305</v>
      </c>
      <c r="C47">
        <v>0</v>
      </c>
      <c r="D47">
        <v>60</v>
      </c>
    </row>
    <row r="48" spans="1:5" x14ac:dyDescent="0.3">
      <c r="A48" t="s">
        <v>4146</v>
      </c>
      <c r="B48" t="s">
        <v>1305</v>
      </c>
      <c r="C48">
        <v>0</v>
      </c>
      <c r="D48">
        <v>50</v>
      </c>
      <c r="E48" t="s">
        <v>4144</v>
      </c>
    </row>
    <row r="49" spans="1:5" x14ac:dyDescent="0.3">
      <c r="A49" t="s">
        <v>1294</v>
      </c>
      <c r="B49" t="s">
        <v>1305</v>
      </c>
      <c r="C49">
        <v>0</v>
      </c>
      <c r="D49">
        <v>100</v>
      </c>
    </row>
    <row r="50" spans="1:5" x14ac:dyDescent="0.3">
      <c r="A50" t="s">
        <v>1425</v>
      </c>
      <c r="B50" t="s">
        <v>1305</v>
      </c>
      <c r="C50">
        <v>0</v>
      </c>
      <c r="D50">
        <v>0.25</v>
      </c>
    </row>
    <row r="51" spans="1:5" x14ac:dyDescent="0.3">
      <c r="A51" t="s">
        <v>1295</v>
      </c>
      <c r="B51" t="s">
        <v>1305</v>
      </c>
      <c r="C51">
        <v>0</v>
      </c>
      <c r="D51">
        <v>100</v>
      </c>
    </row>
    <row r="52" spans="1:5" x14ac:dyDescent="0.3">
      <c r="A52" t="s">
        <v>2453</v>
      </c>
      <c r="B52" t="s">
        <v>1305</v>
      </c>
      <c r="C52">
        <v>0</v>
      </c>
      <c r="D52">
        <v>75</v>
      </c>
    </row>
    <row r="53" spans="1:5" x14ac:dyDescent="0.3">
      <c r="A53" t="s">
        <v>1296</v>
      </c>
      <c r="B53" t="s">
        <v>1305</v>
      </c>
      <c r="C53">
        <v>0</v>
      </c>
      <c r="D53">
        <v>90</v>
      </c>
    </row>
    <row r="54" spans="1:5" x14ac:dyDescent="0.3">
      <c r="A54" t="s">
        <v>2455</v>
      </c>
      <c r="B54" t="s">
        <v>1305</v>
      </c>
      <c r="C54">
        <v>0</v>
      </c>
      <c r="D54">
        <v>50</v>
      </c>
      <c r="E54" t="s">
        <v>2456</v>
      </c>
    </row>
    <row r="55" spans="1:5" x14ac:dyDescent="0.3">
      <c r="A55" t="s">
        <v>1297</v>
      </c>
      <c r="B55" t="s">
        <v>1305</v>
      </c>
      <c r="C55">
        <v>0</v>
      </c>
      <c r="D55">
        <v>80</v>
      </c>
    </row>
    <row r="56" spans="1:5" x14ac:dyDescent="0.3">
      <c r="A56" t="s">
        <v>4145</v>
      </c>
      <c r="B56" t="s">
        <v>1305</v>
      </c>
      <c r="C56">
        <v>0</v>
      </c>
      <c r="D56">
        <v>50</v>
      </c>
    </row>
    <row r="57" spans="1:5" x14ac:dyDescent="0.3">
      <c r="A57" t="s">
        <v>2445</v>
      </c>
      <c r="B57" t="s">
        <v>1305</v>
      </c>
      <c r="C57">
        <v>0</v>
      </c>
      <c r="D57">
        <v>40</v>
      </c>
    </row>
    <row r="58" spans="1:5" x14ac:dyDescent="0.3">
      <c r="A58" t="s">
        <v>2448</v>
      </c>
      <c r="B58" t="s">
        <v>1305</v>
      </c>
      <c r="C58">
        <v>0</v>
      </c>
      <c r="D58">
        <v>80</v>
      </c>
    </row>
    <row r="59" spans="1:5" x14ac:dyDescent="0.3">
      <c r="A59" t="s">
        <v>2451</v>
      </c>
      <c r="B59" t="s">
        <v>1305</v>
      </c>
      <c r="C59">
        <v>0</v>
      </c>
      <c r="D59">
        <v>150</v>
      </c>
    </row>
    <row r="60" spans="1:5" x14ac:dyDescent="0.3">
      <c r="A60" t="s">
        <v>1298</v>
      </c>
      <c r="B60" t="s">
        <v>1305</v>
      </c>
      <c r="C60">
        <v>0</v>
      </c>
      <c r="D60">
        <v>30</v>
      </c>
    </row>
    <row r="61" spans="1:5" x14ac:dyDescent="0.3">
      <c r="A61" t="s">
        <v>1299</v>
      </c>
      <c r="B61" t="s">
        <v>1305</v>
      </c>
      <c r="C61">
        <v>0</v>
      </c>
      <c r="D61">
        <v>25</v>
      </c>
    </row>
    <row r="62" spans="1:5" x14ac:dyDescent="0.3">
      <c r="A62" t="s">
        <v>2460</v>
      </c>
      <c r="B62" t="s">
        <v>1305</v>
      </c>
      <c r="C62">
        <v>0</v>
      </c>
      <c r="D62">
        <v>50</v>
      </c>
      <c r="E62" t="s">
        <v>2461</v>
      </c>
    </row>
    <row r="63" spans="1:5" x14ac:dyDescent="0.3">
      <c r="A63" t="s">
        <v>1300</v>
      </c>
      <c r="B63" t="s">
        <v>1305</v>
      </c>
      <c r="C63">
        <v>0</v>
      </c>
      <c r="D63">
        <v>80</v>
      </c>
    </row>
    <row r="64" spans="1:5" x14ac:dyDescent="0.3">
      <c r="A64" t="s">
        <v>2452</v>
      </c>
      <c r="B64" t="s">
        <v>1305</v>
      </c>
      <c r="C64">
        <v>0</v>
      </c>
      <c r="D64">
        <v>1000</v>
      </c>
    </row>
    <row r="65" spans="1:5" x14ac:dyDescent="0.3">
      <c r="A65" t="s">
        <v>4392</v>
      </c>
      <c r="B65" t="s">
        <v>1305</v>
      </c>
      <c r="C65">
        <v>0</v>
      </c>
      <c r="D65">
        <v>5</v>
      </c>
    </row>
    <row r="66" spans="1:5" x14ac:dyDescent="0.3">
      <c r="A66" t="s">
        <v>4391</v>
      </c>
      <c r="B66" t="s">
        <v>1305</v>
      </c>
      <c r="C66">
        <v>0</v>
      </c>
      <c r="D66">
        <v>75</v>
      </c>
      <c r="E66" t="s">
        <v>4144</v>
      </c>
    </row>
    <row r="67" spans="1:5" x14ac:dyDescent="0.3">
      <c r="A67" t="s">
        <v>2457</v>
      </c>
      <c r="B67" t="s">
        <v>1305</v>
      </c>
      <c r="C67">
        <v>0</v>
      </c>
      <c r="D67">
        <v>150</v>
      </c>
      <c r="E67" t="s">
        <v>2456</v>
      </c>
    </row>
    <row r="68" spans="1:5" x14ac:dyDescent="0.3">
      <c r="A68" t="s">
        <v>1301</v>
      </c>
      <c r="B68" t="s">
        <v>1305</v>
      </c>
      <c r="C68">
        <v>0</v>
      </c>
      <c r="D68">
        <v>20</v>
      </c>
    </row>
    <row r="69" spans="1:5" x14ac:dyDescent="0.3">
      <c r="A69" t="s">
        <v>4143</v>
      </c>
      <c r="B69" t="s">
        <v>1305</v>
      </c>
      <c r="C69">
        <v>0</v>
      </c>
      <c r="D69">
        <v>150</v>
      </c>
      <c r="E69" t="s">
        <v>4144</v>
      </c>
    </row>
    <row r="70" spans="1:5" x14ac:dyDescent="0.3">
      <c r="A70" t="s">
        <v>1302</v>
      </c>
      <c r="B70" t="s">
        <v>1305</v>
      </c>
      <c r="C70">
        <v>0</v>
      </c>
      <c r="D70">
        <v>10</v>
      </c>
    </row>
    <row r="71" spans="1:5" x14ac:dyDescent="0.3">
      <c r="A71" t="s">
        <v>4390</v>
      </c>
      <c r="B71" t="s">
        <v>1305</v>
      </c>
      <c r="C71">
        <v>0</v>
      </c>
      <c r="D71">
        <v>30</v>
      </c>
      <c r="E71" t="s">
        <v>4388</v>
      </c>
    </row>
    <row r="72" spans="1:5" x14ac:dyDescent="0.3">
      <c r="A72" t="s">
        <v>4389</v>
      </c>
      <c r="B72" t="s">
        <v>1305</v>
      </c>
      <c r="C72">
        <v>0</v>
      </c>
      <c r="D72">
        <v>10</v>
      </c>
      <c r="E72" t="s">
        <v>4388</v>
      </c>
    </row>
    <row r="73" spans="1:5" x14ac:dyDescent="0.3">
      <c r="A73" t="s">
        <v>2447</v>
      </c>
      <c r="B73" t="s">
        <v>1305</v>
      </c>
      <c r="C73">
        <v>0</v>
      </c>
      <c r="D73">
        <v>50</v>
      </c>
    </row>
    <row r="74" spans="1:5" x14ac:dyDescent="0.3">
      <c r="A74" t="s">
        <v>1303</v>
      </c>
      <c r="B74" t="s">
        <v>1305</v>
      </c>
      <c r="C74">
        <v>0</v>
      </c>
      <c r="D74">
        <v>75</v>
      </c>
    </row>
    <row r="75" spans="1:5" x14ac:dyDescent="0.3">
      <c r="A75" t="s">
        <v>2450</v>
      </c>
      <c r="B75" t="s">
        <v>1305</v>
      </c>
      <c r="C75">
        <v>0</v>
      </c>
      <c r="D75">
        <v>10</v>
      </c>
    </row>
    <row r="76" spans="1:5" x14ac:dyDescent="0.3">
      <c r="A76" t="s">
        <v>2444</v>
      </c>
      <c r="B76" t="s">
        <v>1305</v>
      </c>
      <c r="C76">
        <v>0</v>
      </c>
      <c r="D76">
        <v>125</v>
      </c>
    </row>
    <row r="77" spans="1:5" x14ac:dyDescent="0.3">
      <c r="A77" t="s">
        <v>1304</v>
      </c>
      <c r="B77" t="s">
        <v>1305</v>
      </c>
      <c r="C77">
        <v>0</v>
      </c>
      <c r="D77">
        <v>30</v>
      </c>
    </row>
    <row r="78" spans="1:5" x14ac:dyDescent="0.3">
      <c r="A78" t="s">
        <v>638</v>
      </c>
      <c r="B78" t="s">
        <v>923</v>
      </c>
      <c r="C78">
        <v>250</v>
      </c>
      <c r="D78">
        <v>5</v>
      </c>
    </row>
    <row r="79" spans="1:5" x14ac:dyDescent="0.3">
      <c r="A79" t="s">
        <v>639</v>
      </c>
      <c r="B79" t="s">
        <v>923</v>
      </c>
      <c r="C79">
        <v>150</v>
      </c>
      <c r="D79">
        <v>1</v>
      </c>
    </row>
    <row r="80" spans="1:5" x14ac:dyDescent="0.3">
      <c r="A80" t="s">
        <v>357</v>
      </c>
      <c r="B80" t="s">
        <v>923</v>
      </c>
      <c r="C80">
        <v>20</v>
      </c>
      <c r="D80">
        <v>5</v>
      </c>
    </row>
    <row r="81" spans="1:4" x14ac:dyDescent="0.3">
      <c r="A81" t="s">
        <v>640</v>
      </c>
      <c r="B81" t="s">
        <v>923</v>
      </c>
      <c r="C81">
        <v>10</v>
      </c>
      <c r="D81">
        <v>0.2</v>
      </c>
    </row>
    <row r="82" spans="1:4" x14ac:dyDescent="0.3">
      <c r="A82" t="s">
        <v>641</v>
      </c>
      <c r="B82" t="s">
        <v>923</v>
      </c>
      <c r="C82">
        <v>10</v>
      </c>
      <c r="D82">
        <v>1</v>
      </c>
    </row>
    <row r="83" spans="1:4" x14ac:dyDescent="0.3">
      <c r="A83" t="s">
        <v>615</v>
      </c>
      <c r="B83" t="s">
        <v>923</v>
      </c>
      <c r="C83">
        <v>25</v>
      </c>
      <c r="D83">
        <v>25</v>
      </c>
    </row>
    <row r="84" spans="1:4" x14ac:dyDescent="0.3">
      <c r="A84" t="s">
        <v>1595</v>
      </c>
      <c r="B84" t="s">
        <v>1576</v>
      </c>
      <c r="C84">
        <v>1</v>
      </c>
      <c r="D84">
        <v>250</v>
      </c>
    </row>
    <row r="85" spans="1:4" x14ac:dyDescent="0.3">
      <c r="A85" t="s">
        <v>1596</v>
      </c>
      <c r="B85" t="s">
        <v>1576</v>
      </c>
      <c r="C85">
        <v>15</v>
      </c>
      <c r="D85">
        <v>2500</v>
      </c>
    </row>
    <row r="86" spans="1:4" x14ac:dyDescent="0.3">
      <c r="A86" t="s">
        <v>1606</v>
      </c>
      <c r="B86" t="s">
        <v>1576</v>
      </c>
      <c r="C86">
        <v>5</v>
      </c>
      <c r="D86">
        <v>1000</v>
      </c>
    </row>
    <row r="87" spans="1:4" x14ac:dyDescent="0.3">
      <c r="A87" t="s">
        <v>1577</v>
      </c>
      <c r="B87" t="s">
        <v>1576</v>
      </c>
      <c r="C87">
        <v>10</v>
      </c>
      <c r="D87">
        <v>750</v>
      </c>
    </row>
    <row r="88" spans="1:4" x14ac:dyDescent="0.3">
      <c r="A88" t="s">
        <v>1578</v>
      </c>
      <c r="B88" t="s">
        <v>1576</v>
      </c>
      <c r="C88">
        <v>12.5</v>
      </c>
      <c r="D88">
        <v>1250</v>
      </c>
    </row>
    <row r="89" spans="1:4" x14ac:dyDescent="0.3">
      <c r="A89" t="s">
        <v>1610</v>
      </c>
      <c r="B89" t="s">
        <v>1576</v>
      </c>
      <c r="C89">
        <v>400</v>
      </c>
      <c r="D89">
        <v>375</v>
      </c>
    </row>
    <row r="90" spans="1:4" x14ac:dyDescent="0.3">
      <c r="A90" t="s">
        <v>1579</v>
      </c>
      <c r="B90" t="s">
        <v>1576</v>
      </c>
      <c r="C90">
        <v>40</v>
      </c>
      <c r="D90">
        <v>250</v>
      </c>
    </row>
    <row r="91" spans="1:4" x14ac:dyDescent="0.3">
      <c r="A91" t="s">
        <v>3683</v>
      </c>
      <c r="B91" t="s">
        <v>1576</v>
      </c>
      <c r="C91">
        <v>10</v>
      </c>
      <c r="D91">
        <v>1600</v>
      </c>
    </row>
    <row r="92" spans="1:4" x14ac:dyDescent="0.3">
      <c r="A92" t="s">
        <v>1597</v>
      </c>
      <c r="B92" t="s">
        <v>1576</v>
      </c>
      <c r="C92">
        <v>2.5</v>
      </c>
      <c r="D92">
        <v>100</v>
      </c>
    </row>
    <row r="93" spans="1:4" x14ac:dyDescent="0.3">
      <c r="A93" t="s">
        <v>1585</v>
      </c>
      <c r="B93" t="s">
        <v>1576</v>
      </c>
      <c r="C93">
        <v>2</v>
      </c>
      <c r="D93">
        <v>2000</v>
      </c>
    </row>
    <row r="94" spans="1:4" x14ac:dyDescent="0.3">
      <c r="A94" t="s">
        <v>1598</v>
      </c>
      <c r="B94" t="s">
        <v>1576</v>
      </c>
      <c r="C94">
        <v>2.5</v>
      </c>
      <c r="D94">
        <v>100</v>
      </c>
    </row>
    <row r="95" spans="1:4" x14ac:dyDescent="0.3">
      <c r="A95" t="s">
        <v>1599</v>
      </c>
      <c r="B95" t="s">
        <v>1576</v>
      </c>
      <c r="C95">
        <v>2.5</v>
      </c>
      <c r="D95">
        <v>2500</v>
      </c>
    </row>
    <row r="96" spans="1:4" x14ac:dyDescent="0.3">
      <c r="A96" t="s">
        <v>4777</v>
      </c>
      <c r="B96" t="s">
        <v>1576</v>
      </c>
      <c r="C96">
        <v>0.25</v>
      </c>
      <c r="D96">
        <v>10</v>
      </c>
    </row>
    <row r="97" spans="1:8" x14ac:dyDescent="0.3">
      <c r="A97" t="s">
        <v>1600</v>
      </c>
      <c r="B97" t="s">
        <v>1576</v>
      </c>
      <c r="C97">
        <v>6</v>
      </c>
      <c r="D97">
        <v>1000</v>
      </c>
    </row>
    <row r="98" spans="1:8" x14ac:dyDescent="0.3">
      <c r="A98" t="s">
        <v>1611</v>
      </c>
      <c r="B98" t="s">
        <v>1576</v>
      </c>
      <c r="C98">
        <v>1500</v>
      </c>
      <c r="D98">
        <v>500</v>
      </c>
      <c r="H98" s="82"/>
    </row>
    <row r="99" spans="1:8" x14ac:dyDescent="0.3">
      <c r="A99" t="s">
        <v>1601</v>
      </c>
      <c r="B99" t="s">
        <v>1576</v>
      </c>
      <c r="C99">
        <v>1</v>
      </c>
      <c r="D99">
        <v>18</v>
      </c>
    </row>
    <row r="100" spans="1:8" x14ac:dyDescent="0.3">
      <c r="A100" t="s">
        <v>1608</v>
      </c>
      <c r="B100" t="s">
        <v>1576</v>
      </c>
      <c r="C100">
        <v>6</v>
      </c>
      <c r="D100">
        <v>500</v>
      </c>
    </row>
    <row r="101" spans="1:8" x14ac:dyDescent="0.3">
      <c r="A101" t="s">
        <v>1589</v>
      </c>
      <c r="B101" t="s">
        <v>1576</v>
      </c>
      <c r="C101">
        <v>30</v>
      </c>
      <c r="D101">
        <v>900</v>
      </c>
    </row>
    <row r="102" spans="1:8" x14ac:dyDescent="0.3">
      <c r="A102" t="s">
        <v>1590</v>
      </c>
      <c r="B102" t="s">
        <v>1576</v>
      </c>
      <c r="C102">
        <v>35</v>
      </c>
      <c r="D102">
        <v>300</v>
      </c>
    </row>
    <row r="103" spans="1:8" x14ac:dyDescent="0.3">
      <c r="A103" t="s">
        <v>4147</v>
      </c>
      <c r="B103" t="s">
        <v>1576</v>
      </c>
      <c r="C103">
        <v>20</v>
      </c>
      <c r="D103">
        <v>2500</v>
      </c>
      <c r="E103" t="s">
        <v>4144</v>
      </c>
    </row>
    <row r="104" spans="1:8" x14ac:dyDescent="0.3">
      <c r="A104" t="s">
        <v>1602</v>
      </c>
      <c r="B104" t="s">
        <v>1576</v>
      </c>
      <c r="C104">
        <v>1</v>
      </c>
      <c r="D104">
        <v>20</v>
      </c>
    </row>
    <row r="105" spans="1:8" x14ac:dyDescent="0.3">
      <c r="A105" t="s">
        <v>1591</v>
      </c>
      <c r="B105" t="s">
        <v>1576</v>
      </c>
      <c r="C105">
        <v>30</v>
      </c>
      <c r="D105">
        <v>5000</v>
      </c>
    </row>
    <row r="106" spans="1:8" x14ac:dyDescent="0.3">
      <c r="A106" t="s">
        <v>1603</v>
      </c>
      <c r="B106" t="s">
        <v>1576</v>
      </c>
      <c r="C106">
        <v>2</v>
      </c>
      <c r="D106">
        <v>2000</v>
      </c>
    </row>
    <row r="107" spans="1:8" x14ac:dyDescent="0.3">
      <c r="A107" t="s">
        <v>1609</v>
      </c>
      <c r="B107" t="s">
        <v>1576</v>
      </c>
      <c r="C107">
        <v>20</v>
      </c>
      <c r="D107">
        <v>800</v>
      </c>
    </row>
    <row r="108" spans="1:8" x14ac:dyDescent="0.3">
      <c r="A108" t="s">
        <v>1604</v>
      </c>
      <c r="B108" t="s">
        <v>1576</v>
      </c>
      <c r="C108">
        <v>5</v>
      </c>
      <c r="D108">
        <v>1500</v>
      </c>
    </row>
    <row r="109" spans="1:8" x14ac:dyDescent="0.3">
      <c r="A109" t="s">
        <v>1605</v>
      </c>
      <c r="B109" t="s">
        <v>1576</v>
      </c>
      <c r="C109">
        <v>5</v>
      </c>
      <c r="D109">
        <v>3000</v>
      </c>
    </row>
    <row r="110" spans="1:8" x14ac:dyDescent="0.3">
      <c r="A110" t="s">
        <v>643</v>
      </c>
      <c r="B110" t="s">
        <v>924</v>
      </c>
      <c r="C110">
        <v>1</v>
      </c>
      <c r="D110">
        <v>5</v>
      </c>
    </row>
    <row r="111" spans="1:8" x14ac:dyDescent="0.3">
      <c r="A111" t="s">
        <v>642</v>
      </c>
      <c r="B111" t="s">
        <v>924</v>
      </c>
      <c r="C111">
        <v>0.2</v>
      </c>
      <c r="D111">
        <v>5</v>
      </c>
    </row>
    <row r="112" spans="1:8" x14ac:dyDescent="0.3">
      <c r="A112" t="s">
        <v>644</v>
      </c>
      <c r="B112" t="s">
        <v>924</v>
      </c>
      <c r="C112">
        <v>50</v>
      </c>
      <c r="D112">
        <v>10</v>
      </c>
    </row>
    <row r="113" spans="1:4" x14ac:dyDescent="0.3">
      <c r="A113" t="s">
        <v>645</v>
      </c>
      <c r="B113" t="s">
        <v>924</v>
      </c>
      <c r="C113">
        <v>50</v>
      </c>
      <c r="D113">
        <v>150</v>
      </c>
    </row>
    <row r="114" spans="1:4" x14ac:dyDescent="0.3">
      <c r="A114" t="s">
        <v>646</v>
      </c>
      <c r="B114" t="s">
        <v>924</v>
      </c>
      <c r="C114">
        <v>50</v>
      </c>
      <c r="D114">
        <v>10</v>
      </c>
    </row>
    <row r="115" spans="1:4" x14ac:dyDescent="0.3">
      <c r="A115" t="s">
        <v>647</v>
      </c>
      <c r="B115" t="s">
        <v>924</v>
      </c>
      <c r="C115">
        <v>50</v>
      </c>
      <c r="D115">
        <v>70</v>
      </c>
    </row>
    <row r="116" spans="1:4" x14ac:dyDescent="0.3">
      <c r="A116" t="s">
        <v>648</v>
      </c>
      <c r="B116" t="s">
        <v>924</v>
      </c>
      <c r="C116">
        <v>50</v>
      </c>
      <c r="D116">
        <v>75</v>
      </c>
    </row>
    <row r="117" spans="1:4" x14ac:dyDescent="0.3">
      <c r="A117" t="s">
        <v>649</v>
      </c>
      <c r="B117" t="s">
        <v>924</v>
      </c>
      <c r="C117">
        <v>50</v>
      </c>
      <c r="D117">
        <v>25</v>
      </c>
    </row>
    <row r="118" spans="1:4" x14ac:dyDescent="0.3">
      <c r="A118" t="s">
        <v>650</v>
      </c>
      <c r="B118" t="s">
        <v>924</v>
      </c>
      <c r="C118">
        <v>50</v>
      </c>
      <c r="D118">
        <v>25</v>
      </c>
    </row>
    <row r="119" spans="1:4" x14ac:dyDescent="0.3">
      <c r="A119" t="s">
        <v>651</v>
      </c>
      <c r="B119" t="s">
        <v>924</v>
      </c>
      <c r="C119">
        <v>50</v>
      </c>
      <c r="D119">
        <v>20</v>
      </c>
    </row>
    <row r="120" spans="1:4" x14ac:dyDescent="0.3">
      <c r="A120" t="s">
        <v>652</v>
      </c>
      <c r="B120" t="s">
        <v>924</v>
      </c>
      <c r="C120">
        <v>50</v>
      </c>
      <c r="D120">
        <v>2</v>
      </c>
    </row>
    <row r="121" spans="1:4" x14ac:dyDescent="0.3">
      <c r="A121" t="s">
        <v>653</v>
      </c>
      <c r="B121" t="s">
        <v>924</v>
      </c>
      <c r="C121">
        <v>50</v>
      </c>
      <c r="D121">
        <v>55</v>
      </c>
    </row>
    <row r="122" spans="1:4" x14ac:dyDescent="0.3">
      <c r="A122" t="s">
        <v>654</v>
      </c>
      <c r="B122" t="s">
        <v>924</v>
      </c>
      <c r="C122">
        <v>50</v>
      </c>
      <c r="D122">
        <v>45</v>
      </c>
    </row>
    <row r="123" spans="1:4" x14ac:dyDescent="0.3">
      <c r="A123" t="s">
        <v>655</v>
      </c>
      <c r="B123" t="s">
        <v>924</v>
      </c>
      <c r="C123">
        <v>50</v>
      </c>
      <c r="D123">
        <v>5</v>
      </c>
    </row>
    <row r="124" spans="1:4" x14ac:dyDescent="0.3">
      <c r="A124" t="s">
        <v>656</v>
      </c>
      <c r="B124" t="s">
        <v>924</v>
      </c>
      <c r="C124">
        <v>50</v>
      </c>
      <c r="D124">
        <v>30</v>
      </c>
    </row>
    <row r="125" spans="1:4" x14ac:dyDescent="0.3">
      <c r="A125" t="s">
        <v>657</v>
      </c>
      <c r="B125" t="s">
        <v>924</v>
      </c>
      <c r="C125">
        <v>50</v>
      </c>
      <c r="D125">
        <v>75</v>
      </c>
    </row>
    <row r="126" spans="1:4" x14ac:dyDescent="0.3">
      <c r="A126" t="s">
        <v>658</v>
      </c>
      <c r="B126" t="s">
        <v>924</v>
      </c>
      <c r="C126">
        <v>50</v>
      </c>
      <c r="D126">
        <v>15</v>
      </c>
    </row>
    <row r="127" spans="1:4" x14ac:dyDescent="0.3">
      <c r="A127" t="s">
        <v>931</v>
      </c>
      <c r="B127" t="s">
        <v>924</v>
      </c>
      <c r="C127">
        <v>0.2</v>
      </c>
      <c r="D127">
        <v>25</v>
      </c>
    </row>
    <row r="128" spans="1:4" x14ac:dyDescent="0.3">
      <c r="A128" t="s">
        <v>659</v>
      </c>
      <c r="B128" t="s">
        <v>924</v>
      </c>
      <c r="C128">
        <v>1</v>
      </c>
      <c r="D128">
        <v>30</v>
      </c>
    </row>
    <row r="129" spans="1:4" x14ac:dyDescent="0.3">
      <c r="A129" t="s">
        <v>660</v>
      </c>
      <c r="B129" t="s">
        <v>924</v>
      </c>
      <c r="C129">
        <v>1</v>
      </c>
      <c r="D129">
        <v>15</v>
      </c>
    </row>
    <row r="130" spans="1:4" x14ac:dyDescent="0.3">
      <c r="A130" t="s">
        <v>661</v>
      </c>
      <c r="B130" t="s">
        <v>924</v>
      </c>
      <c r="C130">
        <v>1</v>
      </c>
      <c r="D130">
        <v>30</v>
      </c>
    </row>
    <row r="131" spans="1:4" x14ac:dyDescent="0.3">
      <c r="A131" t="s">
        <v>662</v>
      </c>
      <c r="B131" t="s">
        <v>924</v>
      </c>
      <c r="C131">
        <v>1</v>
      </c>
      <c r="D131">
        <v>10</v>
      </c>
    </row>
    <row r="132" spans="1:4" x14ac:dyDescent="0.3">
      <c r="A132" t="s">
        <v>663</v>
      </c>
      <c r="B132" t="s">
        <v>925</v>
      </c>
      <c r="C132">
        <v>400</v>
      </c>
      <c r="D132">
        <v>250</v>
      </c>
    </row>
    <row r="133" spans="1:4" x14ac:dyDescent="0.3">
      <c r="A133" t="s">
        <v>664</v>
      </c>
      <c r="B133" t="s">
        <v>925</v>
      </c>
      <c r="C133">
        <v>325</v>
      </c>
      <c r="D133">
        <v>380</v>
      </c>
    </row>
    <row r="134" spans="1:4" x14ac:dyDescent="0.3">
      <c r="A134" t="s">
        <v>665</v>
      </c>
      <c r="B134" t="s">
        <v>925</v>
      </c>
      <c r="C134">
        <v>500</v>
      </c>
      <c r="D134">
        <v>250</v>
      </c>
    </row>
    <row r="135" spans="1:4" x14ac:dyDescent="0.3">
      <c r="A135" t="s">
        <v>666</v>
      </c>
      <c r="B135" t="s">
        <v>925</v>
      </c>
      <c r="C135">
        <v>600</v>
      </c>
      <c r="D135">
        <v>150</v>
      </c>
    </row>
    <row r="136" spans="1:4" x14ac:dyDescent="0.3">
      <c r="A136" t="s">
        <v>667</v>
      </c>
      <c r="B136" t="s">
        <v>925</v>
      </c>
      <c r="C136">
        <v>15</v>
      </c>
      <c r="D136">
        <v>5</v>
      </c>
    </row>
    <row r="137" spans="1:4" x14ac:dyDescent="0.3">
      <c r="A137" t="s">
        <v>668</v>
      </c>
      <c r="B137" t="s">
        <v>925</v>
      </c>
      <c r="C137">
        <v>2</v>
      </c>
      <c r="D137">
        <v>15</v>
      </c>
    </row>
    <row r="138" spans="1:4" x14ac:dyDescent="0.3">
      <c r="A138" t="s">
        <v>669</v>
      </c>
      <c r="B138" t="s">
        <v>925</v>
      </c>
      <c r="C138">
        <v>50</v>
      </c>
      <c r="D138">
        <v>40</v>
      </c>
    </row>
    <row r="139" spans="1:4" x14ac:dyDescent="0.3">
      <c r="A139" t="s">
        <v>670</v>
      </c>
      <c r="B139" t="s">
        <v>925</v>
      </c>
      <c r="C139">
        <v>45</v>
      </c>
      <c r="D139">
        <v>60</v>
      </c>
    </row>
    <row r="140" spans="1:4" x14ac:dyDescent="0.3">
      <c r="A140" t="s">
        <v>671</v>
      </c>
      <c r="B140" t="s">
        <v>925</v>
      </c>
      <c r="C140">
        <v>45</v>
      </c>
      <c r="D140">
        <v>40</v>
      </c>
    </row>
    <row r="141" spans="1:4" x14ac:dyDescent="0.3">
      <c r="A141" t="s">
        <v>672</v>
      </c>
      <c r="B141" t="s">
        <v>925</v>
      </c>
      <c r="C141">
        <v>750</v>
      </c>
      <c r="D141">
        <v>40</v>
      </c>
    </row>
    <row r="142" spans="1:4" x14ac:dyDescent="0.3">
      <c r="A142" t="s">
        <v>673</v>
      </c>
      <c r="B142" t="s">
        <v>925</v>
      </c>
      <c r="C142">
        <v>25</v>
      </c>
      <c r="D142">
        <v>10</v>
      </c>
    </row>
    <row r="143" spans="1:4" x14ac:dyDescent="0.3">
      <c r="A143" t="s">
        <v>555</v>
      </c>
      <c r="B143" t="s">
        <v>553</v>
      </c>
      <c r="C143">
        <v>2.5</v>
      </c>
      <c r="D143">
        <v>0.5</v>
      </c>
    </row>
    <row r="144" spans="1:4" x14ac:dyDescent="0.3">
      <c r="A144" t="s">
        <v>1335</v>
      </c>
      <c r="B144" t="s">
        <v>553</v>
      </c>
      <c r="C144">
        <v>10</v>
      </c>
      <c r="D144">
        <v>150</v>
      </c>
    </row>
    <row r="145" spans="1:4" x14ac:dyDescent="0.3">
      <c r="A145" t="s">
        <v>558</v>
      </c>
      <c r="B145" t="s">
        <v>553</v>
      </c>
      <c r="C145">
        <v>5</v>
      </c>
      <c r="D145">
        <v>3</v>
      </c>
    </row>
    <row r="146" spans="1:4" x14ac:dyDescent="0.3">
      <c r="A146" t="s">
        <v>1327</v>
      </c>
      <c r="B146" t="s">
        <v>553</v>
      </c>
      <c r="C146">
        <v>0</v>
      </c>
      <c r="D146">
        <v>10</v>
      </c>
    </row>
    <row r="147" spans="1:4" x14ac:dyDescent="0.3">
      <c r="A147" t="s">
        <v>1324</v>
      </c>
      <c r="B147" t="s">
        <v>553</v>
      </c>
      <c r="C147">
        <v>0</v>
      </c>
      <c r="D147">
        <v>400</v>
      </c>
    </row>
    <row r="148" spans="1:4" x14ac:dyDescent="0.3">
      <c r="A148" t="s">
        <v>1326</v>
      </c>
      <c r="B148" t="s">
        <v>553</v>
      </c>
      <c r="C148">
        <v>0</v>
      </c>
      <c r="D148">
        <v>1</v>
      </c>
    </row>
    <row r="149" spans="1:4" x14ac:dyDescent="0.3">
      <c r="A149" t="s">
        <v>1323</v>
      </c>
      <c r="B149" t="s">
        <v>553</v>
      </c>
      <c r="C149">
        <v>0</v>
      </c>
      <c r="D149">
        <v>25</v>
      </c>
    </row>
    <row r="150" spans="1:4" x14ac:dyDescent="0.3">
      <c r="A150" t="s">
        <v>1325</v>
      </c>
      <c r="B150" t="s">
        <v>553</v>
      </c>
      <c r="C150">
        <v>0</v>
      </c>
      <c r="D150">
        <v>5</v>
      </c>
    </row>
    <row r="151" spans="1:4" x14ac:dyDescent="0.3">
      <c r="A151" t="s">
        <v>1322</v>
      </c>
      <c r="B151" t="s">
        <v>553</v>
      </c>
      <c r="C151">
        <v>0</v>
      </c>
      <c r="D151">
        <v>5</v>
      </c>
    </row>
    <row r="152" spans="1:4" x14ac:dyDescent="0.3">
      <c r="A152" t="s">
        <v>556</v>
      </c>
      <c r="B152" t="s">
        <v>553</v>
      </c>
      <c r="C152">
        <v>2.5</v>
      </c>
      <c r="D152">
        <v>2</v>
      </c>
    </row>
    <row r="153" spans="1:4" x14ac:dyDescent="0.3">
      <c r="A153" t="s">
        <v>1355</v>
      </c>
      <c r="B153" t="s">
        <v>553</v>
      </c>
      <c r="C153">
        <v>2.5</v>
      </c>
      <c r="D153">
        <v>20</v>
      </c>
    </row>
    <row r="154" spans="1:4" x14ac:dyDescent="0.3">
      <c r="A154" t="s">
        <v>1337</v>
      </c>
      <c r="B154" t="s">
        <v>553</v>
      </c>
      <c r="C154">
        <v>10</v>
      </c>
      <c r="D154">
        <v>200</v>
      </c>
    </row>
    <row r="155" spans="1:4" x14ac:dyDescent="0.3">
      <c r="A155" t="s">
        <v>560</v>
      </c>
      <c r="B155" t="s">
        <v>553</v>
      </c>
      <c r="C155">
        <v>2.5</v>
      </c>
      <c r="D155">
        <v>4</v>
      </c>
    </row>
    <row r="156" spans="1:4" x14ac:dyDescent="0.3">
      <c r="A156" t="s">
        <v>1354</v>
      </c>
      <c r="B156" t="s">
        <v>553</v>
      </c>
      <c r="C156">
        <v>5</v>
      </c>
      <c r="D156">
        <v>40</v>
      </c>
    </row>
    <row r="157" spans="1:4" x14ac:dyDescent="0.3">
      <c r="A157" t="s">
        <v>557</v>
      </c>
      <c r="B157" t="s">
        <v>553</v>
      </c>
      <c r="C157">
        <v>5</v>
      </c>
      <c r="D157">
        <v>2</v>
      </c>
    </row>
    <row r="158" spans="1:4" x14ac:dyDescent="0.3">
      <c r="A158" t="s">
        <v>1333</v>
      </c>
      <c r="B158" t="s">
        <v>553</v>
      </c>
      <c r="C158">
        <v>0</v>
      </c>
      <c r="D158">
        <v>1</v>
      </c>
    </row>
    <row r="159" spans="1:4" x14ac:dyDescent="0.3">
      <c r="A159" t="s">
        <v>1570</v>
      </c>
      <c r="B159" t="s">
        <v>553</v>
      </c>
      <c r="C159">
        <v>0</v>
      </c>
      <c r="D159">
        <v>2</v>
      </c>
    </row>
    <row r="160" spans="1:4" x14ac:dyDescent="0.3">
      <c r="A160" t="s">
        <v>1315</v>
      </c>
      <c r="B160" t="s">
        <v>553</v>
      </c>
      <c r="C160">
        <v>0</v>
      </c>
      <c r="D160">
        <v>1</v>
      </c>
    </row>
    <row r="161" spans="1:4" x14ac:dyDescent="0.3">
      <c r="A161" t="s">
        <v>1334</v>
      </c>
      <c r="B161" t="s">
        <v>553</v>
      </c>
      <c r="C161">
        <v>2.5</v>
      </c>
      <c r="D161">
        <v>1</v>
      </c>
    </row>
    <row r="162" spans="1:4" x14ac:dyDescent="0.3">
      <c r="A162" t="s">
        <v>617</v>
      </c>
      <c r="B162" t="s">
        <v>553</v>
      </c>
      <c r="C162">
        <v>2.5</v>
      </c>
      <c r="D162">
        <v>4</v>
      </c>
    </row>
    <row r="163" spans="1:4" x14ac:dyDescent="0.3">
      <c r="A163" t="s">
        <v>619</v>
      </c>
      <c r="B163" t="s">
        <v>553</v>
      </c>
      <c r="C163">
        <v>2.5</v>
      </c>
      <c r="D163">
        <v>5</v>
      </c>
    </row>
    <row r="164" spans="1:4" x14ac:dyDescent="0.3">
      <c r="A164" t="s">
        <v>616</v>
      </c>
      <c r="B164" t="s">
        <v>553</v>
      </c>
      <c r="C164">
        <v>2.5</v>
      </c>
      <c r="D164">
        <v>2</v>
      </c>
    </row>
    <row r="165" spans="1:4" x14ac:dyDescent="0.3">
      <c r="A165" t="s">
        <v>618</v>
      </c>
      <c r="B165" t="s">
        <v>553</v>
      </c>
      <c r="C165">
        <v>2.5</v>
      </c>
      <c r="D165">
        <v>3</v>
      </c>
    </row>
    <row r="166" spans="1:4" x14ac:dyDescent="0.3">
      <c r="A166" t="s">
        <v>1319</v>
      </c>
      <c r="B166" t="s">
        <v>553</v>
      </c>
      <c r="C166">
        <v>10</v>
      </c>
      <c r="D166">
        <v>125</v>
      </c>
    </row>
    <row r="167" spans="1:4" x14ac:dyDescent="0.3">
      <c r="A167" t="s">
        <v>1318</v>
      </c>
      <c r="B167" t="s">
        <v>553</v>
      </c>
      <c r="C167">
        <v>10</v>
      </c>
      <c r="D167">
        <v>65</v>
      </c>
    </row>
    <row r="168" spans="1:4" x14ac:dyDescent="0.3">
      <c r="A168" t="s">
        <v>1321</v>
      </c>
      <c r="B168" t="s">
        <v>553</v>
      </c>
      <c r="C168">
        <v>12</v>
      </c>
      <c r="D168">
        <v>150</v>
      </c>
    </row>
    <row r="169" spans="1:4" x14ac:dyDescent="0.3">
      <c r="A169" t="s">
        <v>1320</v>
      </c>
      <c r="B169" t="s">
        <v>553</v>
      </c>
      <c r="C169">
        <v>12</v>
      </c>
      <c r="D169">
        <v>75</v>
      </c>
    </row>
    <row r="170" spans="1:4" x14ac:dyDescent="0.3">
      <c r="A170" t="s">
        <v>1317</v>
      </c>
      <c r="B170" t="s">
        <v>553</v>
      </c>
      <c r="C170">
        <v>6</v>
      </c>
      <c r="D170">
        <v>100</v>
      </c>
    </row>
    <row r="171" spans="1:4" x14ac:dyDescent="0.3">
      <c r="A171" t="s">
        <v>1316</v>
      </c>
      <c r="B171" t="s">
        <v>553</v>
      </c>
      <c r="C171">
        <v>6</v>
      </c>
      <c r="D171">
        <v>50</v>
      </c>
    </row>
    <row r="172" spans="1:4" x14ac:dyDescent="0.3">
      <c r="A172" t="s">
        <v>554</v>
      </c>
      <c r="B172" t="s">
        <v>553</v>
      </c>
      <c r="C172">
        <v>2</v>
      </c>
      <c r="D172">
        <v>1</v>
      </c>
    </row>
    <row r="173" spans="1:4" x14ac:dyDescent="0.3">
      <c r="A173" t="s">
        <v>559</v>
      </c>
      <c r="B173" t="s">
        <v>553</v>
      </c>
      <c r="C173">
        <v>7.5</v>
      </c>
      <c r="D173">
        <v>3</v>
      </c>
    </row>
    <row r="174" spans="1:4" x14ac:dyDescent="0.3">
      <c r="A174" t="s">
        <v>674</v>
      </c>
      <c r="B174" t="s">
        <v>926</v>
      </c>
      <c r="C174">
        <v>15</v>
      </c>
      <c r="D174">
        <v>50</v>
      </c>
    </row>
    <row r="175" spans="1:4" x14ac:dyDescent="0.3">
      <c r="A175" t="s">
        <v>1281</v>
      </c>
      <c r="B175" t="s">
        <v>926</v>
      </c>
      <c r="C175">
        <v>1</v>
      </c>
      <c r="D175">
        <v>10</v>
      </c>
    </row>
    <row r="176" spans="1:4" x14ac:dyDescent="0.3">
      <c r="A176" t="s">
        <v>594</v>
      </c>
      <c r="B176" t="s">
        <v>926</v>
      </c>
      <c r="C176">
        <v>3</v>
      </c>
      <c r="D176">
        <v>8</v>
      </c>
    </row>
    <row r="177" spans="1:4" x14ac:dyDescent="0.3">
      <c r="A177" t="s">
        <v>597</v>
      </c>
      <c r="B177" t="s">
        <v>926</v>
      </c>
      <c r="C177">
        <v>0</v>
      </c>
      <c r="D177">
        <v>0.5</v>
      </c>
    </row>
    <row r="178" spans="1:4" x14ac:dyDescent="0.3">
      <c r="A178" t="s">
        <v>675</v>
      </c>
      <c r="B178" t="s">
        <v>926</v>
      </c>
      <c r="C178">
        <v>5</v>
      </c>
      <c r="D178">
        <v>100</v>
      </c>
    </row>
    <row r="179" spans="1:4" x14ac:dyDescent="0.3">
      <c r="A179" t="s">
        <v>934</v>
      </c>
      <c r="B179" t="s">
        <v>926</v>
      </c>
      <c r="C179">
        <v>1000</v>
      </c>
      <c r="D179">
        <v>1250</v>
      </c>
    </row>
    <row r="180" spans="1:4" x14ac:dyDescent="0.3">
      <c r="A180" t="s">
        <v>676</v>
      </c>
      <c r="B180" t="s">
        <v>926</v>
      </c>
      <c r="C180">
        <v>0.1</v>
      </c>
      <c r="D180">
        <v>0.1</v>
      </c>
    </row>
    <row r="181" spans="1:4" x14ac:dyDescent="0.3">
      <c r="A181" t="s">
        <v>677</v>
      </c>
      <c r="B181" t="s">
        <v>926</v>
      </c>
      <c r="C181">
        <v>3</v>
      </c>
      <c r="D181">
        <v>8</v>
      </c>
    </row>
    <row r="182" spans="1:4" x14ac:dyDescent="0.3">
      <c r="A182" t="s">
        <v>678</v>
      </c>
      <c r="B182" t="s">
        <v>926</v>
      </c>
      <c r="C182">
        <v>2.5</v>
      </c>
      <c r="D182">
        <v>1</v>
      </c>
    </row>
    <row r="183" spans="1:4" x14ac:dyDescent="0.3">
      <c r="A183" t="s">
        <v>1279</v>
      </c>
      <c r="B183" t="s">
        <v>926</v>
      </c>
      <c r="C183">
        <v>15</v>
      </c>
      <c r="D183">
        <v>250</v>
      </c>
    </row>
    <row r="184" spans="1:4" x14ac:dyDescent="0.3">
      <c r="A184" t="s">
        <v>1280</v>
      </c>
      <c r="B184" t="s">
        <v>926</v>
      </c>
      <c r="C184">
        <v>20</v>
      </c>
      <c r="D184">
        <v>300</v>
      </c>
    </row>
    <row r="185" spans="1:4" x14ac:dyDescent="0.3">
      <c r="A185" t="s">
        <v>679</v>
      </c>
      <c r="B185" t="s">
        <v>926</v>
      </c>
      <c r="C185">
        <v>15</v>
      </c>
      <c r="D185">
        <v>125</v>
      </c>
    </row>
    <row r="186" spans="1:4" x14ac:dyDescent="0.3">
      <c r="A186" t="s">
        <v>3682</v>
      </c>
      <c r="B186" t="s">
        <v>588</v>
      </c>
      <c r="C186">
        <v>2</v>
      </c>
      <c r="D186">
        <v>2</v>
      </c>
    </row>
    <row r="187" spans="1:4" x14ac:dyDescent="0.3">
      <c r="A187" t="s">
        <v>591</v>
      </c>
      <c r="B187" t="s">
        <v>588</v>
      </c>
      <c r="C187">
        <v>2</v>
      </c>
      <c r="D187">
        <v>5</v>
      </c>
    </row>
    <row r="188" spans="1:4" x14ac:dyDescent="0.3">
      <c r="A188" t="s">
        <v>590</v>
      </c>
      <c r="B188" t="s">
        <v>588</v>
      </c>
      <c r="C188">
        <v>0.5</v>
      </c>
      <c r="D188">
        <v>0.15</v>
      </c>
    </row>
    <row r="189" spans="1:4" x14ac:dyDescent="0.3">
      <c r="A189" t="s">
        <v>3681</v>
      </c>
      <c r="B189" t="s">
        <v>588</v>
      </c>
      <c r="C189">
        <v>0</v>
      </c>
      <c r="D189">
        <v>0.05</v>
      </c>
    </row>
    <row r="190" spans="1:4" x14ac:dyDescent="0.3">
      <c r="A190" t="s">
        <v>589</v>
      </c>
      <c r="B190" t="s">
        <v>588</v>
      </c>
      <c r="C190">
        <v>0.5</v>
      </c>
      <c r="D190">
        <v>0.25</v>
      </c>
    </row>
    <row r="191" spans="1:4" x14ac:dyDescent="0.3">
      <c r="A191" t="s">
        <v>680</v>
      </c>
      <c r="B191" t="s">
        <v>588</v>
      </c>
      <c r="C191">
        <v>0.5</v>
      </c>
      <c r="D191">
        <v>0.5</v>
      </c>
    </row>
    <row r="192" spans="1:4" x14ac:dyDescent="0.3">
      <c r="A192" t="s">
        <v>681</v>
      </c>
      <c r="B192" t="s">
        <v>588</v>
      </c>
      <c r="C192">
        <v>0.5</v>
      </c>
      <c r="D192">
        <v>0.5</v>
      </c>
    </row>
    <row r="193" spans="1:4" x14ac:dyDescent="0.3">
      <c r="A193" t="s">
        <v>4852</v>
      </c>
      <c r="B193" t="s">
        <v>588</v>
      </c>
      <c r="C193">
        <v>0.5</v>
      </c>
      <c r="D193">
        <v>5</v>
      </c>
    </row>
    <row r="194" spans="1:4" x14ac:dyDescent="0.3">
      <c r="A194" t="s">
        <v>682</v>
      </c>
      <c r="B194" t="s">
        <v>588</v>
      </c>
      <c r="C194">
        <v>0.5</v>
      </c>
      <c r="D194">
        <v>0.5</v>
      </c>
    </row>
    <row r="195" spans="1:4" x14ac:dyDescent="0.3">
      <c r="A195" t="s">
        <v>587</v>
      </c>
      <c r="B195" t="s">
        <v>588</v>
      </c>
      <c r="C195">
        <v>1</v>
      </c>
      <c r="D195">
        <v>0.5</v>
      </c>
    </row>
    <row r="196" spans="1:4" x14ac:dyDescent="0.3">
      <c r="A196" t="s">
        <v>683</v>
      </c>
      <c r="B196" t="s">
        <v>927</v>
      </c>
      <c r="C196">
        <v>5</v>
      </c>
      <c r="D196">
        <v>6</v>
      </c>
    </row>
    <row r="197" spans="1:4" x14ac:dyDescent="0.3">
      <c r="A197" t="s">
        <v>684</v>
      </c>
      <c r="B197" t="s">
        <v>927</v>
      </c>
      <c r="C197">
        <v>0</v>
      </c>
      <c r="D197">
        <v>0.2</v>
      </c>
    </row>
    <row r="198" spans="1:4" x14ac:dyDescent="0.3">
      <c r="A198" t="s">
        <v>685</v>
      </c>
      <c r="B198" t="s">
        <v>927</v>
      </c>
      <c r="C198">
        <v>15</v>
      </c>
      <c r="D198">
        <v>5</v>
      </c>
    </row>
    <row r="199" spans="1:4" x14ac:dyDescent="0.3">
      <c r="A199" t="s">
        <v>686</v>
      </c>
      <c r="B199" t="s">
        <v>927</v>
      </c>
      <c r="C199">
        <v>5</v>
      </c>
      <c r="D199">
        <v>0.5</v>
      </c>
    </row>
    <row r="200" spans="1:4" x14ac:dyDescent="0.3">
      <c r="A200" t="s">
        <v>687</v>
      </c>
      <c r="B200" t="s">
        <v>927</v>
      </c>
      <c r="C200">
        <v>2</v>
      </c>
      <c r="D200">
        <v>2.5</v>
      </c>
    </row>
    <row r="201" spans="1:4" x14ac:dyDescent="0.3">
      <c r="A201" t="s">
        <v>688</v>
      </c>
      <c r="B201" t="s">
        <v>927</v>
      </c>
      <c r="C201">
        <v>35</v>
      </c>
      <c r="D201">
        <v>1</v>
      </c>
    </row>
    <row r="202" spans="1:4" x14ac:dyDescent="0.3">
      <c r="A202" t="s">
        <v>1424</v>
      </c>
      <c r="B202" t="s">
        <v>927</v>
      </c>
      <c r="C202">
        <v>10</v>
      </c>
      <c r="D202">
        <v>7</v>
      </c>
    </row>
    <row r="203" spans="1:4" x14ac:dyDescent="0.3">
      <c r="A203" t="s">
        <v>1419</v>
      </c>
      <c r="B203" t="s">
        <v>927</v>
      </c>
      <c r="C203">
        <v>0.5</v>
      </c>
      <c r="D203">
        <v>0.65</v>
      </c>
    </row>
    <row r="204" spans="1:4" x14ac:dyDescent="0.3">
      <c r="A204" t="s">
        <v>1418</v>
      </c>
      <c r="B204" t="s">
        <v>927</v>
      </c>
      <c r="C204">
        <v>1</v>
      </c>
      <c r="D204">
        <v>2</v>
      </c>
    </row>
    <row r="205" spans="1:4" x14ac:dyDescent="0.3">
      <c r="A205" t="s">
        <v>689</v>
      </c>
      <c r="B205" t="s">
        <v>927</v>
      </c>
      <c r="C205">
        <v>75</v>
      </c>
      <c r="D205">
        <v>2.5</v>
      </c>
    </row>
    <row r="206" spans="1:4" x14ac:dyDescent="0.3">
      <c r="A206" t="s">
        <v>690</v>
      </c>
      <c r="B206" t="s">
        <v>927</v>
      </c>
      <c r="C206">
        <v>100</v>
      </c>
      <c r="D206">
        <v>20</v>
      </c>
    </row>
    <row r="207" spans="1:4" x14ac:dyDescent="0.3">
      <c r="A207" t="s">
        <v>691</v>
      </c>
      <c r="B207" t="s">
        <v>927</v>
      </c>
      <c r="C207">
        <v>1</v>
      </c>
      <c r="D207">
        <v>1</v>
      </c>
    </row>
    <row r="208" spans="1:4" x14ac:dyDescent="0.3">
      <c r="A208" t="s">
        <v>692</v>
      </c>
      <c r="B208" t="s">
        <v>927</v>
      </c>
      <c r="C208">
        <v>1</v>
      </c>
      <c r="D208">
        <v>1</v>
      </c>
    </row>
    <row r="209" spans="1:4" x14ac:dyDescent="0.3">
      <c r="A209" t="s">
        <v>1278</v>
      </c>
      <c r="B209" t="s">
        <v>927</v>
      </c>
      <c r="C209">
        <v>4</v>
      </c>
      <c r="D209">
        <v>12</v>
      </c>
    </row>
    <row r="210" spans="1:4" x14ac:dyDescent="0.3">
      <c r="A210" t="s">
        <v>693</v>
      </c>
      <c r="B210" t="s">
        <v>927</v>
      </c>
      <c r="C210">
        <v>300</v>
      </c>
      <c r="D210">
        <v>16</v>
      </c>
    </row>
    <row r="211" spans="1:4" x14ac:dyDescent="0.3">
      <c r="A211" t="s">
        <v>694</v>
      </c>
      <c r="B211" t="s">
        <v>927</v>
      </c>
      <c r="C211">
        <v>10</v>
      </c>
      <c r="D211">
        <v>2</v>
      </c>
    </row>
    <row r="212" spans="1:4" x14ac:dyDescent="0.3">
      <c r="A212" t="s">
        <v>695</v>
      </c>
      <c r="B212" t="s">
        <v>927</v>
      </c>
      <c r="C212">
        <v>5</v>
      </c>
      <c r="D212">
        <v>2</v>
      </c>
    </row>
    <row r="213" spans="1:4" x14ac:dyDescent="0.3">
      <c r="A213" t="s">
        <v>696</v>
      </c>
      <c r="B213" t="s">
        <v>927</v>
      </c>
      <c r="C213">
        <v>10</v>
      </c>
      <c r="D213">
        <v>0.6</v>
      </c>
    </row>
    <row r="214" spans="1:4" x14ac:dyDescent="0.3">
      <c r="A214" t="s">
        <v>697</v>
      </c>
      <c r="B214" t="s">
        <v>927</v>
      </c>
      <c r="C214">
        <v>2500</v>
      </c>
      <c r="D214">
        <v>300</v>
      </c>
    </row>
    <row r="215" spans="1:4" x14ac:dyDescent="0.3">
      <c r="A215" t="s">
        <v>698</v>
      </c>
      <c r="B215" t="s">
        <v>927</v>
      </c>
      <c r="C215">
        <v>5</v>
      </c>
      <c r="D215">
        <v>1</v>
      </c>
    </row>
    <row r="216" spans="1:4" x14ac:dyDescent="0.3">
      <c r="A216" t="s">
        <v>699</v>
      </c>
      <c r="B216" t="s">
        <v>927</v>
      </c>
      <c r="C216">
        <v>0.2</v>
      </c>
      <c r="D216">
        <v>0.1</v>
      </c>
    </row>
    <row r="217" spans="1:4" x14ac:dyDescent="0.3">
      <c r="A217" t="s">
        <v>1420</v>
      </c>
      <c r="B217" t="s">
        <v>927</v>
      </c>
      <c r="C217">
        <v>2</v>
      </c>
      <c r="D217">
        <v>25</v>
      </c>
    </row>
    <row r="218" spans="1:4" x14ac:dyDescent="0.3">
      <c r="A218" t="s">
        <v>593</v>
      </c>
      <c r="B218" t="s">
        <v>927</v>
      </c>
      <c r="C218">
        <v>0.5</v>
      </c>
      <c r="D218">
        <v>0.25</v>
      </c>
    </row>
    <row r="219" spans="1:4" x14ac:dyDescent="0.3">
      <c r="A219" t="s">
        <v>2103</v>
      </c>
      <c r="B219" t="s">
        <v>927</v>
      </c>
      <c r="C219">
        <v>2.5</v>
      </c>
      <c r="D219">
        <v>2</v>
      </c>
    </row>
    <row r="220" spans="1:4" x14ac:dyDescent="0.3">
      <c r="A220" t="s">
        <v>700</v>
      </c>
      <c r="B220" t="s">
        <v>927</v>
      </c>
      <c r="C220">
        <v>5</v>
      </c>
      <c r="D220">
        <v>15</v>
      </c>
    </row>
    <row r="221" spans="1:4" x14ac:dyDescent="0.3">
      <c r="A221" t="s">
        <v>701</v>
      </c>
      <c r="B221" t="s">
        <v>927</v>
      </c>
      <c r="C221">
        <v>1</v>
      </c>
      <c r="D221">
        <v>5</v>
      </c>
    </row>
    <row r="222" spans="1:4" x14ac:dyDescent="0.3">
      <c r="A222" t="s">
        <v>1567</v>
      </c>
      <c r="B222" t="s">
        <v>927</v>
      </c>
      <c r="C222">
        <v>3</v>
      </c>
      <c r="D222">
        <v>450</v>
      </c>
    </row>
    <row r="223" spans="1:4" x14ac:dyDescent="0.3">
      <c r="A223" t="s">
        <v>1568</v>
      </c>
      <c r="B223" t="s">
        <v>927</v>
      </c>
      <c r="C223">
        <v>3</v>
      </c>
      <c r="D223">
        <v>750</v>
      </c>
    </row>
    <row r="224" spans="1:4" x14ac:dyDescent="0.3">
      <c r="A224" t="s">
        <v>1569</v>
      </c>
      <c r="B224" t="s">
        <v>927</v>
      </c>
      <c r="C224">
        <v>4</v>
      </c>
      <c r="D224">
        <v>1500</v>
      </c>
    </row>
    <row r="225" spans="1:4" x14ac:dyDescent="0.3">
      <c r="A225" t="s">
        <v>1564</v>
      </c>
      <c r="B225" t="s">
        <v>927</v>
      </c>
      <c r="C225">
        <v>2</v>
      </c>
      <c r="D225">
        <v>150</v>
      </c>
    </row>
    <row r="226" spans="1:4" x14ac:dyDescent="0.3">
      <c r="A226" t="s">
        <v>1565</v>
      </c>
      <c r="B226" t="s">
        <v>927</v>
      </c>
      <c r="C226">
        <v>2</v>
      </c>
      <c r="D226">
        <v>250</v>
      </c>
    </row>
    <row r="227" spans="1:4" x14ac:dyDescent="0.3">
      <c r="A227" t="s">
        <v>1566</v>
      </c>
      <c r="B227" t="s">
        <v>927</v>
      </c>
      <c r="C227">
        <v>3</v>
      </c>
      <c r="D227">
        <v>500</v>
      </c>
    </row>
    <row r="228" spans="1:4" x14ac:dyDescent="0.3">
      <c r="A228" t="s">
        <v>702</v>
      </c>
      <c r="B228" t="s">
        <v>927</v>
      </c>
      <c r="C228">
        <v>20</v>
      </c>
      <c r="D228">
        <v>0.25</v>
      </c>
    </row>
    <row r="229" spans="1:4" x14ac:dyDescent="0.3">
      <c r="A229" t="s">
        <v>703</v>
      </c>
      <c r="B229" t="s">
        <v>927</v>
      </c>
      <c r="C229">
        <v>2</v>
      </c>
      <c r="D229">
        <v>4</v>
      </c>
    </row>
    <row r="230" spans="1:4" x14ac:dyDescent="0.3">
      <c r="A230" t="s">
        <v>704</v>
      </c>
      <c r="B230" t="s">
        <v>927</v>
      </c>
      <c r="C230">
        <v>20</v>
      </c>
      <c r="D230">
        <v>25</v>
      </c>
    </row>
    <row r="231" spans="1:4" x14ac:dyDescent="0.3">
      <c r="A231" t="s">
        <v>705</v>
      </c>
      <c r="B231" t="s">
        <v>927</v>
      </c>
      <c r="C231">
        <v>25</v>
      </c>
      <c r="D231">
        <v>25</v>
      </c>
    </row>
    <row r="232" spans="1:4" x14ac:dyDescent="0.3">
      <c r="A232" t="s">
        <v>4457</v>
      </c>
      <c r="B232" t="s">
        <v>927</v>
      </c>
      <c r="C232">
        <v>20</v>
      </c>
      <c r="D232">
        <v>12</v>
      </c>
    </row>
    <row r="233" spans="1:4" x14ac:dyDescent="0.3">
      <c r="A233" t="s">
        <v>706</v>
      </c>
      <c r="B233" t="s">
        <v>927</v>
      </c>
      <c r="C233">
        <v>150</v>
      </c>
      <c r="D233">
        <v>25</v>
      </c>
    </row>
    <row r="234" spans="1:4" x14ac:dyDescent="0.3">
      <c r="A234" t="s">
        <v>707</v>
      </c>
      <c r="B234" t="s">
        <v>927</v>
      </c>
      <c r="C234">
        <v>10</v>
      </c>
      <c r="D234">
        <v>25</v>
      </c>
    </row>
    <row r="235" spans="1:4" x14ac:dyDescent="0.3">
      <c r="A235" t="s">
        <v>708</v>
      </c>
      <c r="B235" t="s">
        <v>927</v>
      </c>
      <c r="C235">
        <v>20</v>
      </c>
      <c r="D235">
        <v>25</v>
      </c>
    </row>
    <row r="236" spans="1:4" x14ac:dyDescent="0.3">
      <c r="A236" t="s">
        <v>709</v>
      </c>
      <c r="B236" t="s">
        <v>927</v>
      </c>
      <c r="C236">
        <v>40</v>
      </c>
      <c r="D236">
        <v>25</v>
      </c>
    </row>
    <row r="237" spans="1:4" x14ac:dyDescent="0.3">
      <c r="A237" t="s">
        <v>710</v>
      </c>
      <c r="B237" t="s">
        <v>927</v>
      </c>
      <c r="C237">
        <v>10</v>
      </c>
      <c r="D237">
        <v>25</v>
      </c>
    </row>
    <row r="238" spans="1:4" x14ac:dyDescent="0.3">
      <c r="A238" t="s">
        <v>711</v>
      </c>
      <c r="B238" t="s">
        <v>927</v>
      </c>
      <c r="C238">
        <v>10</v>
      </c>
      <c r="D238">
        <v>25</v>
      </c>
    </row>
    <row r="239" spans="1:4" x14ac:dyDescent="0.3">
      <c r="A239" t="s">
        <v>712</v>
      </c>
      <c r="B239" t="s">
        <v>927</v>
      </c>
      <c r="C239">
        <v>8</v>
      </c>
      <c r="D239">
        <v>7.5</v>
      </c>
    </row>
    <row r="240" spans="1:4" x14ac:dyDescent="0.3">
      <c r="A240" t="s">
        <v>713</v>
      </c>
      <c r="B240" t="s">
        <v>927</v>
      </c>
      <c r="C240">
        <v>0.5</v>
      </c>
      <c r="D240">
        <v>50</v>
      </c>
    </row>
    <row r="241" spans="1:4" x14ac:dyDescent="0.3">
      <c r="A241" t="s">
        <v>714</v>
      </c>
      <c r="B241" t="s">
        <v>927</v>
      </c>
      <c r="C241">
        <v>5</v>
      </c>
      <c r="D241">
        <v>0.5</v>
      </c>
    </row>
    <row r="242" spans="1:4" x14ac:dyDescent="0.3">
      <c r="A242" t="s">
        <v>715</v>
      </c>
      <c r="B242" t="s">
        <v>927</v>
      </c>
      <c r="C242">
        <v>10</v>
      </c>
      <c r="D242">
        <v>2</v>
      </c>
    </row>
    <row r="243" spans="1:4" x14ac:dyDescent="0.3">
      <c r="A243" t="s">
        <v>1426</v>
      </c>
      <c r="B243" t="s">
        <v>927</v>
      </c>
      <c r="C243">
        <v>20</v>
      </c>
      <c r="D243">
        <v>12</v>
      </c>
    </row>
    <row r="244" spans="1:4" x14ac:dyDescent="0.3">
      <c r="A244" t="s">
        <v>716</v>
      </c>
      <c r="B244" t="s">
        <v>927</v>
      </c>
      <c r="C244">
        <v>0.5</v>
      </c>
      <c r="D244">
        <v>1</v>
      </c>
    </row>
    <row r="245" spans="1:4" x14ac:dyDescent="0.3">
      <c r="A245" t="s">
        <v>717</v>
      </c>
      <c r="B245" t="s">
        <v>927</v>
      </c>
      <c r="C245">
        <v>2</v>
      </c>
      <c r="D245">
        <v>6</v>
      </c>
    </row>
    <row r="246" spans="1:4" x14ac:dyDescent="0.3">
      <c r="A246" t="s">
        <v>1427</v>
      </c>
      <c r="B246" t="s">
        <v>927</v>
      </c>
      <c r="C246">
        <v>0.5</v>
      </c>
      <c r="D246">
        <v>3</v>
      </c>
    </row>
    <row r="247" spans="1:4" x14ac:dyDescent="0.3">
      <c r="A247" t="s">
        <v>718</v>
      </c>
      <c r="B247" t="s">
        <v>927</v>
      </c>
      <c r="C247">
        <v>6</v>
      </c>
      <c r="D247">
        <v>2</v>
      </c>
    </row>
    <row r="248" spans="1:4" x14ac:dyDescent="0.3">
      <c r="A248" t="s">
        <v>719</v>
      </c>
      <c r="B248" t="s">
        <v>927</v>
      </c>
      <c r="C248">
        <v>1</v>
      </c>
      <c r="D248">
        <v>4</v>
      </c>
    </row>
    <row r="249" spans="1:4" x14ac:dyDescent="0.3">
      <c r="A249" t="s">
        <v>720</v>
      </c>
      <c r="B249" t="s">
        <v>927</v>
      </c>
      <c r="C249">
        <v>3000</v>
      </c>
      <c r="D249">
        <v>500</v>
      </c>
    </row>
    <row r="250" spans="1:4" x14ac:dyDescent="0.3">
      <c r="A250" t="s">
        <v>721</v>
      </c>
      <c r="B250" t="s">
        <v>927</v>
      </c>
      <c r="C250">
        <v>1</v>
      </c>
      <c r="D250">
        <v>1</v>
      </c>
    </row>
    <row r="251" spans="1:4" x14ac:dyDescent="0.3">
      <c r="A251" t="s">
        <v>722</v>
      </c>
      <c r="B251" t="s">
        <v>927</v>
      </c>
      <c r="C251">
        <v>10</v>
      </c>
      <c r="D251">
        <v>0.75</v>
      </c>
    </row>
    <row r="252" spans="1:4" x14ac:dyDescent="0.3">
      <c r="A252" t="s">
        <v>723</v>
      </c>
      <c r="B252" t="s">
        <v>927</v>
      </c>
      <c r="C252">
        <v>5</v>
      </c>
      <c r="D252">
        <v>1</v>
      </c>
    </row>
    <row r="253" spans="1:4" hidden="1" x14ac:dyDescent="0.3">
      <c r="A253" t="s">
        <v>739</v>
      </c>
      <c r="B253" t="s">
        <v>928</v>
      </c>
      <c r="C253">
        <v>20</v>
      </c>
      <c r="D253">
        <v>0</v>
      </c>
    </row>
    <row r="254" spans="1:4" x14ac:dyDescent="0.3">
      <c r="A254" t="s">
        <v>724</v>
      </c>
      <c r="B254" t="s">
        <v>927</v>
      </c>
      <c r="C254">
        <v>10</v>
      </c>
      <c r="D254">
        <v>1.25</v>
      </c>
    </row>
    <row r="255" spans="1:4" x14ac:dyDescent="0.3">
      <c r="A255" t="s">
        <v>726</v>
      </c>
      <c r="B255" t="s">
        <v>928</v>
      </c>
      <c r="C255">
        <v>2</v>
      </c>
      <c r="D255">
        <v>0.3</v>
      </c>
    </row>
    <row r="256" spans="1:4" x14ac:dyDescent="0.3">
      <c r="A256" t="s">
        <v>727</v>
      </c>
      <c r="B256" t="s">
        <v>928</v>
      </c>
      <c r="C256">
        <v>0.5</v>
      </c>
      <c r="D256">
        <v>0.1</v>
      </c>
    </row>
    <row r="257" spans="1:4" x14ac:dyDescent="0.3">
      <c r="A257" t="s">
        <v>728</v>
      </c>
      <c r="B257" t="s">
        <v>928</v>
      </c>
      <c r="C257">
        <v>150</v>
      </c>
      <c r="D257">
        <v>1</v>
      </c>
    </row>
    <row r="258" spans="1:4" x14ac:dyDescent="0.3">
      <c r="A258" t="s">
        <v>729</v>
      </c>
      <c r="B258" t="s">
        <v>928</v>
      </c>
      <c r="C258">
        <v>75</v>
      </c>
      <c r="D258">
        <v>0.2</v>
      </c>
    </row>
    <row r="259" spans="1:4" x14ac:dyDescent="0.3">
      <c r="A259" t="s">
        <v>4851</v>
      </c>
      <c r="B259" t="s">
        <v>928</v>
      </c>
      <c r="C259">
        <v>1</v>
      </c>
      <c r="D259">
        <v>0.5</v>
      </c>
    </row>
    <row r="260" spans="1:4" x14ac:dyDescent="0.3">
      <c r="A260" t="s">
        <v>730</v>
      </c>
      <c r="B260" t="s">
        <v>928</v>
      </c>
      <c r="C260">
        <v>150</v>
      </c>
      <c r="D260">
        <v>1</v>
      </c>
    </row>
    <row r="261" spans="1:4" x14ac:dyDescent="0.3">
      <c r="A261" t="s">
        <v>731</v>
      </c>
      <c r="B261" t="s">
        <v>928</v>
      </c>
      <c r="C261">
        <v>80</v>
      </c>
      <c r="D261">
        <v>0.4</v>
      </c>
    </row>
    <row r="262" spans="1:4" x14ac:dyDescent="0.3">
      <c r="A262" t="s">
        <v>733</v>
      </c>
      <c r="B262" t="s">
        <v>928</v>
      </c>
      <c r="C262">
        <v>3</v>
      </c>
      <c r="D262">
        <v>2</v>
      </c>
    </row>
    <row r="263" spans="1:4" x14ac:dyDescent="0.3">
      <c r="A263" t="s">
        <v>732</v>
      </c>
      <c r="B263" t="s">
        <v>928</v>
      </c>
      <c r="C263">
        <v>2</v>
      </c>
      <c r="D263">
        <v>2</v>
      </c>
    </row>
    <row r="264" spans="1:4" x14ac:dyDescent="0.3">
      <c r="A264" t="s">
        <v>734</v>
      </c>
      <c r="B264" t="s">
        <v>928</v>
      </c>
      <c r="C264">
        <v>1</v>
      </c>
      <c r="D264">
        <v>1</v>
      </c>
    </row>
    <row r="265" spans="1:4" x14ac:dyDescent="0.3">
      <c r="A265" t="s">
        <v>735</v>
      </c>
      <c r="B265" t="s">
        <v>928</v>
      </c>
      <c r="C265">
        <v>2</v>
      </c>
      <c r="D265">
        <v>0.4</v>
      </c>
    </row>
    <row r="266" spans="1:4" x14ac:dyDescent="0.3">
      <c r="A266" t="s">
        <v>933</v>
      </c>
      <c r="B266" t="s">
        <v>928</v>
      </c>
      <c r="C266">
        <v>200</v>
      </c>
      <c r="D266">
        <v>1</v>
      </c>
    </row>
    <row r="267" spans="1:4" x14ac:dyDescent="0.3">
      <c r="A267" t="s">
        <v>736</v>
      </c>
      <c r="B267" t="s">
        <v>928</v>
      </c>
      <c r="C267">
        <v>100</v>
      </c>
      <c r="D267">
        <v>0.3</v>
      </c>
    </row>
    <row r="268" spans="1:4" x14ac:dyDescent="0.3">
      <c r="A268" t="s">
        <v>774</v>
      </c>
      <c r="B268" t="s">
        <v>928</v>
      </c>
      <c r="C268">
        <v>6</v>
      </c>
      <c r="D268">
        <v>0.4</v>
      </c>
    </row>
    <row r="269" spans="1:4" x14ac:dyDescent="0.3">
      <c r="A269" t="s">
        <v>775</v>
      </c>
      <c r="B269" t="s">
        <v>928</v>
      </c>
      <c r="C269">
        <v>10</v>
      </c>
      <c r="D269">
        <v>0.9</v>
      </c>
    </row>
    <row r="270" spans="1:4" x14ac:dyDescent="0.3">
      <c r="A270" t="s">
        <v>1277</v>
      </c>
      <c r="B270" t="s">
        <v>928</v>
      </c>
      <c r="C270">
        <v>20</v>
      </c>
      <c r="D270">
        <v>2</v>
      </c>
    </row>
    <row r="271" spans="1:4" x14ac:dyDescent="0.3">
      <c r="A271" t="s">
        <v>737</v>
      </c>
      <c r="B271" t="s">
        <v>928</v>
      </c>
      <c r="C271">
        <v>1</v>
      </c>
      <c r="D271">
        <v>0.2</v>
      </c>
    </row>
    <row r="272" spans="1:4" x14ac:dyDescent="0.3">
      <c r="A272" t="s">
        <v>935</v>
      </c>
      <c r="B272" t="s">
        <v>928</v>
      </c>
      <c r="C272">
        <v>1</v>
      </c>
      <c r="D272">
        <v>2</v>
      </c>
    </row>
    <row r="273" spans="1:4" x14ac:dyDescent="0.3">
      <c r="A273" t="s">
        <v>738</v>
      </c>
      <c r="B273" t="s">
        <v>928</v>
      </c>
      <c r="C273">
        <v>2</v>
      </c>
      <c r="D273">
        <v>5</v>
      </c>
    </row>
    <row r="274" spans="1:4" x14ac:dyDescent="0.3">
      <c r="A274" t="s">
        <v>4853</v>
      </c>
      <c r="B274" t="s">
        <v>928</v>
      </c>
      <c r="C274">
        <v>4</v>
      </c>
      <c r="D274">
        <v>10</v>
      </c>
    </row>
    <row r="275" spans="1:4" x14ac:dyDescent="0.3">
      <c r="A275" t="s">
        <v>740</v>
      </c>
      <c r="B275" t="s">
        <v>928</v>
      </c>
      <c r="C275">
        <v>2</v>
      </c>
      <c r="D275">
        <v>0.1</v>
      </c>
    </row>
    <row r="276" spans="1:4" x14ac:dyDescent="0.3">
      <c r="A276" t="s">
        <v>741</v>
      </c>
      <c r="B276" t="s">
        <v>928</v>
      </c>
      <c r="C276">
        <v>200</v>
      </c>
      <c r="D276">
        <v>40</v>
      </c>
    </row>
    <row r="277" spans="1:4" x14ac:dyDescent="0.3">
      <c r="A277" t="s">
        <v>742</v>
      </c>
      <c r="B277" t="s">
        <v>928</v>
      </c>
      <c r="C277">
        <v>32</v>
      </c>
      <c r="D277">
        <v>12</v>
      </c>
    </row>
    <row r="278" spans="1:4" x14ac:dyDescent="0.3">
      <c r="A278" t="s">
        <v>743</v>
      </c>
      <c r="B278" t="s">
        <v>928</v>
      </c>
      <c r="C278">
        <v>80</v>
      </c>
      <c r="D278">
        <v>25</v>
      </c>
    </row>
    <row r="279" spans="1:4" x14ac:dyDescent="0.3">
      <c r="A279" t="s">
        <v>744</v>
      </c>
      <c r="B279" t="s">
        <v>928</v>
      </c>
      <c r="C279">
        <v>8</v>
      </c>
      <c r="D279">
        <v>3</v>
      </c>
    </row>
    <row r="280" spans="1:4" x14ac:dyDescent="0.3">
      <c r="A280" t="s">
        <v>745</v>
      </c>
      <c r="B280" t="s">
        <v>928</v>
      </c>
      <c r="C280">
        <v>0.2</v>
      </c>
      <c r="D280">
        <v>0.6</v>
      </c>
    </row>
    <row r="281" spans="1:4" x14ac:dyDescent="0.3">
      <c r="A281" t="s">
        <v>746</v>
      </c>
      <c r="B281" t="s">
        <v>929</v>
      </c>
      <c r="C281">
        <v>50</v>
      </c>
      <c r="D281">
        <v>10</v>
      </c>
    </row>
    <row r="282" spans="1:4" x14ac:dyDescent="0.3">
      <c r="A282" t="s">
        <v>747</v>
      </c>
      <c r="B282" t="s">
        <v>929</v>
      </c>
      <c r="C282">
        <v>30</v>
      </c>
      <c r="D282">
        <v>4</v>
      </c>
    </row>
    <row r="283" spans="1:4" x14ac:dyDescent="0.3">
      <c r="A283" t="s">
        <v>748</v>
      </c>
      <c r="B283" t="s">
        <v>929</v>
      </c>
      <c r="C283">
        <v>15</v>
      </c>
      <c r="D283">
        <v>2</v>
      </c>
    </row>
    <row r="284" spans="1:4" x14ac:dyDescent="0.3">
      <c r="A284" t="s">
        <v>749</v>
      </c>
      <c r="B284" t="s">
        <v>929</v>
      </c>
      <c r="C284">
        <v>10</v>
      </c>
      <c r="D284">
        <v>3</v>
      </c>
    </row>
    <row r="285" spans="1:4" x14ac:dyDescent="0.3">
      <c r="A285" t="s">
        <v>750</v>
      </c>
      <c r="B285" t="s">
        <v>929</v>
      </c>
      <c r="C285">
        <v>5</v>
      </c>
      <c r="D285">
        <v>1</v>
      </c>
    </row>
    <row r="286" spans="1:4" x14ac:dyDescent="0.3">
      <c r="A286" t="s">
        <v>751</v>
      </c>
      <c r="B286" t="s">
        <v>929</v>
      </c>
      <c r="C286">
        <v>0.2</v>
      </c>
      <c r="D286">
        <v>0.2</v>
      </c>
    </row>
    <row r="287" spans="1:4" x14ac:dyDescent="0.3">
      <c r="A287" t="s">
        <v>752</v>
      </c>
      <c r="B287" t="s">
        <v>929</v>
      </c>
      <c r="C287">
        <v>2</v>
      </c>
      <c r="D287">
        <v>0.2</v>
      </c>
    </row>
    <row r="288" spans="1:4" x14ac:dyDescent="0.3">
      <c r="A288" t="s">
        <v>753</v>
      </c>
      <c r="B288" t="s">
        <v>929</v>
      </c>
      <c r="C288">
        <v>0</v>
      </c>
      <c r="D288">
        <v>0.2</v>
      </c>
    </row>
    <row r="289" spans="1:4" x14ac:dyDescent="0.3">
      <c r="A289" t="s">
        <v>936</v>
      </c>
      <c r="B289" t="s">
        <v>929</v>
      </c>
      <c r="C289">
        <v>1</v>
      </c>
      <c r="D289">
        <v>0.4</v>
      </c>
    </row>
    <row r="290" spans="1:4" x14ac:dyDescent="0.3">
      <c r="A290" t="s">
        <v>754</v>
      </c>
      <c r="B290" t="s">
        <v>929</v>
      </c>
      <c r="C290">
        <v>0.5</v>
      </c>
      <c r="D290">
        <v>2</v>
      </c>
    </row>
    <row r="291" spans="1:4" x14ac:dyDescent="0.3">
      <c r="A291" t="s">
        <v>3675</v>
      </c>
      <c r="B291" t="s">
        <v>929</v>
      </c>
      <c r="C291">
        <v>1.5</v>
      </c>
      <c r="D291">
        <v>2</v>
      </c>
    </row>
    <row r="292" spans="1:4" x14ac:dyDescent="0.3">
      <c r="A292" t="s">
        <v>1870</v>
      </c>
      <c r="B292" t="s">
        <v>929</v>
      </c>
      <c r="C292">
        <v>2</v>
      </c>
      <c r="D292">
        <v>2</v>
      </c>
    </row>
    <row r="293" spans="1:4" x14ac:dyDescent="0.3">
      <c r="A293" t="s">
        <v>1871</v>
      </c>
      <c r="B293" t="s">
        <v>929</v>
      </c>
      <c r="C293">
        <v>5</v>
      </c>
      <c r="D293">
        <v>7</v>
      </c>
    </row>
    <row r="294" spans="1:4" x14ac:dyDescent="0.3">
      <c r="A294" t="s">
        <v>755</v>
      </c>
      <c r="B294" t="s">
        <v>929</v>
      </c>
      <c r="C294">
        <v>1</v>
      </c>
      <c r="D294">
        <v>1</v>
      </c>
    </row>
    <row r="295" spans="1:4" x14ac:dyDescent="0.3">
      <c r="A295" t="s">
        <v>756</v>
      </c>
      <c r="B295" t="s">
        <v>929</v>
      </c>
      <c r="C295">
        <v>1</v>
      </c>
      <c r="D295">
        <v>2.5</v>
      </c>
    </row>
    <row r="296" spans="1:4" x14ac:dyDescent="0.3">
      <c r="A296" t="s">
        <v>937</v>
      </c>
      <c r="B296" t="s">
        <v>929</v>
      </c>
      <c r="C296">
        <v>1</v>
      </c>
      <c r="D296">
        <v>2</v>
      </c>
    </row>
    <row r="297" spans="1:4" x14ac:dyDescent="0.3">
      <c r="A297" t="s">
        <v>757</v>
      </c>
      <c r="B297" t="s">
        <v>929</v>
      </c>
      <c r="C297">
        <v>1</v>
      </c>
      <c r="D297">
        <v>0.2</v>
      </c>
    </row>
    <row r="298" spans="1:4" x14ac:dyDescent="0.3">
      <c r="A298" t="s">
        <v>602</v>
      </c>
      <c r="B298" t="s">
        <v>41</v>
      </c>
      <c r="C298">
        <v>0.12</v>
      </c>
      <c r="D298">
        <v>0.5</v>
      </c>
    </row>
    <row r="299" spans="1:4" x14ac:dyDescent="0.3">
      <c r="A299" t="s">
        <v>568</v>
      </c>
      <c r="B299" t="s">
        <v>41</v>
      </c>
      <c r="C299">
        <v>2.5</v>
      </c>
      <c r="D299">
        <v>3</v>
      </c>
    </row>
    <row r="300" spans="1:4" x14ac:dyDescent="0.3">
      <c r="A300" t="s">
        <v>758</v>
      </c>
      <c r="B300" t="s">
        <v>41</v>
      </c>
      <c r="C300">
        <v>10</v>
      </c>
      <c r="D300">
        <v>1.5</v>
      </c>
    </row>
    <row r="301" spans="1:4" x14ac:dyDescent="0.3">
      <c r="A301" t="s">
        <v>938</v>
      </c>
      <c r="B301" t="s">
        <v>41</v>
      </c>
      <c r="C301">
        <v>1</v>
      </c>
      <c r="D301">
        <v>2</v>
      </c>
    </row>
    <row r="302" spans="1:4" x14ac:dyDescent="0.3">
      <c r="A302" t="s">
        <v>4850</v>
      </c>
      <c r="B302" t="s">
        <v>41</v>
      </c>
      <c r="C302">
        <v>6</v>
      </c>
      <c r="D302">
        <v>0.5</v>
      </c>
    </row>
    <row r="303" spans="1:4" x14ac:dyDescent="0.3">
      <c r="A303" t="s">
        <v>759</v>
      </c>
      <c r="B303" t="s">
        <v>41</v>
      </c>
      <c r="C303">
        <v>0</v>
      </c>
      <c r="D303">
        <v>0.3</v>
      </c>
    </row>
    <row r="304" spans="1:4" x14ac:dyDescent="0.3">
      <c r="A304" t="s">
        <v>760</v>
      </c>
      <c r="B304" t="s">
        <v>41</v>
      </c>
      <c r="C304">
        <v>2</v>
      </c>
      <c r="D304">
        <v>0.9</v>
      </c>
    </row>
    <row r="305" spans="1:5" x14ac:dyDescent="0.3">
      <c r="A305" t="s">
        <v>761</v>
      </c>
      <c r="B305" t="s">
        <v>41</v>
      </c>
      <c r="C305">
        <v>1</v>
      </c>
      <c r="D305">
        <v>0.6</v>
      </c>
    </row>
    <row r="306" spans="1:5" x14ac:dyDescent="0.3">
      <c r="A306" t="s">
        <v>1416</v>
      </c>
      <c r="B306" t="s">
        <v>41</v>
      </c>
      <c r="C306">
        <v>0.5</v>
      </c>
      <c r="D306">
        <v>3</v>
      </c>
    </row>
    <row r="307" spans="1:5" x14ac:dyDescent="0.3">
      <c r="A307" t="s">
        <v>762</v>
      </c>
      <c r="B307" t="s">
        <v>41</v>
      </c>
      <c r="C307">
        <v>2.5</v>
      </c>
      <c r="D307">
        <v>3</v>
      </c>
    </row>
    <row r="308" spans="1:5" x14ac:dyDescent="0.3">
      <c r="A308" t="s">
        <v>4781</v>
      </c>
      <c r="B308" t="s">
        <v>41</v>
      </c>
      <c r="C308">
        <v>25</v>
      </c>
      <c r="D308">
        <v>5</v>
      </c>
      <c r="E308" t="s">
        <v>4782</v>
      </c>
    </row>
    <row r="309" spans="1:5" x14ac:dyDescent="0.3">
      <c r="A309" t="s">
        <v>574</v>
      </c>
      <c r="B309" t="s">
        <v>41</v>
      </c>
      <c r="C309">
        <v>0</v>
      </c>
      <c r="D309">
        <v>0.05</v>
      </c>
    </row>
    <row r="310" spans="1:5" x14ac:dyDescent="0.3">
      <c r="A310" t="s">
        <v>763</v>
      </c>
      <c r="B310" t="s">
        <v>41</v>
      </c>
      <c r="C310">
        <v>2</v>
      </c>
      <c r="D310">
        <v>0.75</v>
      </c>
    </row>
    <row r="311" spans="1:5" x14ac:dyDescent="0.3">
      <c r="A311" t="s">
        <v>3674</v>
      </c>
      <c r="B311" t="s">
        <v>41</v>
      </c>
      <c r="C311">
        <v>4</v>
      </c>
      <c r="D311">
        <v>5</v>
      </c>
    </row>
    <row r="312" spans="1:5" x14ac:dyDescent="0.3">
      <c r="A312" t="s">
        <v>764</v>
      </c>
      <c r="B312" t="s">
        <v>41</v>
      </c>
      <c r="C312">
        <v>2.5</v>
      </c>
      <c r="D312">
        <v>3</v>
      </c>
    </row>
    <row r="313" spans="1:5" x14ac:dyDescent="0.3">
      <c r="A313" t="s">
        <v>765</v>
      </c>
      <c r="B313" t="s">
        <v>41</v>
      </c>
      <c r="C313">
        <v>0</v>
      </c>
      <c r="D313">
        <v>8</v>
      </c>
    </row>
    <row r="314" spans="1:5" x14ac:dyDescent="0.3">
      <c r="A314" t="s">
        <v>766</v>
      </c>
      <c r="B314" t="s">
        <v>41</v>
      </c>
      <c r="C314">
        <v>0</v>
      </c>
      <c r="D314">
        <v>0.1</v>
      </c>
    </row>
    <row r="315" spans="1:5" x14ac:dyDescent="0.3">
      <c r="A315" t="s">
        <v>767</v>
      </c>
      <c r="B315" t="s">
        <v>41</v>
      </c>
      <c r="C315">
        <v>0</v>
      </c>
      <c r="D315">
        <v>0.3</v>
      </c>
    </row>
    <row r="316" spans="1:5" x14ac:dyDescent="0.3">
      <c r="A316" t="s">
        <v>576</v>
      </c>
      <c r="B316" t="s">
        <v>41</v>
      </c>
      <c r="C316">
        <v>1</v>
      </c>
      <c r="D316">
        <v>10</v>
      </c>
    </row>
    <row r="317" spans="1:5" x14ac:dyDescent="0.3">
      <c r="A317" t="s">
        <v>768</v>
      </c>
      <c r="B317" t="s">
        <v>41</v>
      </c>
      <c r="C317">
        <v>25</v>
      </c>
      <c r="D317">
        <v>1</v>
      </c>
    </row>
    <row r="318" spans="1:5" x14ac:dyDescent="0.3">
      <c r="A318" t="s">
        <v>769</v>
      </c>
      <c r="B318" t="s">
        <v>41</v>
      </c>
      <c r="C318">
        <v>10</v>
      </c>
      <c r="D318">
        <v>0.6</v>
      </c>
    </row>
    <row r="319" spans="1:5" x14ac:dyDescent="0.3">
      <c r="A319" t="s">
        <v>770</v>
      </c>
      <c r="B319" t="s">
        <v>41</v>
      </c>
      <c r="C319">
        <v>1</v>
      </c>
      <c r="D319">
        <v>0.3</v>
      </c>
    </row>
    <row r="320" spans="1:5" x14ac:dyDescent="0.3">
      <c r="A320" t="s">
        <v>771</v>
      </c>
      <c r="B320" t="s">
        <v>41</v>
      </c>
      <c r="C320">
        <v>0</v>
      </c>
      <c r="D320">
        <v>1</v>
      </c>
    </row>
    <row r="321" spans="1:4" x14ac:dyDescent="0.3">
      <c r="A321" t="s">
        <v>3680</v>
      </c>
      <c r="B321" t="s">
        <v>41</v>
      </c>
      <c r="C321">
        <v>0.25</v>
      </c>
      <c r="D321">
        <v>3</v>
      </c>
    </row>
    <row r="322" spans="1:4" x14ac:dyDescent="0.3">
      <c r="A322" t="s">
        <v>939</v>
      </c>
      <c r="B322" t="s">
        <v>41</v>
      </c>
      <c r="C322">
        <v>7.5</v>
      </c>
      <c r="D322">
        <v>2.5</v>
      </c>
    </row>
    <row r="323" spans="1:4" x14ac:dyDescent="0.3">
      <c r="A323" t="s">
        <v>940</v>
      </c>
      <c r="B323" t="s">
        <v>41</v>
      </c>
      <c r="C323">
        <v>0.15</v>
      </c>
      <c r="D323">
        <v>0.05</v>
      </c>
    </row>
    <row r="324" spans="1:4" x14ac:dyDescent="0.3">
      <c r="A324" t="s">
        <v>571</v>
      </c>
      <c r="B324" t="s">
        <v>41</v>
      </c>
      <c r="C324">
        <v>1</v>
      </c>
      <c r="D324">
        <v>1</v>
      </c>
    </row>
    <row r="325" spans="1:4" x14ac:dyDescent="0.3">
      <c r="A325" t="s">
        <v>772</v>
      </c>
      <c r="B325" t="s">
        <v>41</v>
      </c>
      <c r="C325">
        <v>2</v>
      </c>
      <c r="D325">
        <v>1</v>
      </c>
    </row>
    <row r="326" spans="1:4" x14ac:dyDescent="0.3">
      <c r="A326" t="s">
        <v>592</v>
      </c>
      <c r="B326" t="s">
        <v>41</v>
      </c>
      <c r="C326">
        <v>2.5</v>
      </c>
      <c r="D326">
        <v>2</v>
      </c>
    </row>
    <row r="327" spans="1:4" x14ac:dyDescent="0.3">
      <c r="A327" t="s">
        <v>598</v>
      </c>
      <c r="B327" t="s">
        <v>41</v>
      </c>
      <c r="C327">
        <v>1.25</v>
      </c>
      <c r="D327">
        <v>1</v>
      </c>
    </row>
    <row r="328" spans="1:4" x14ac:dyDescent="0.3">
      <c r="A328" t="s">
        <v>606</v>
      </c>
      <c r="B328" t="s">
        <v>41</v>
      </c>
      <c r="C328">
        <v>0</v>
      </c>
      <c r="D328">
        <v>0.5</v>
      </c>
    </row>
    <row r="329" spans="1:4" x14ac:dyDescent="0.3">
      <c r="A329" t="s">
        <v>4988</v>
      </c>
      <c r="B329" t="s">
        <v>41</v>
      </c>
      <c r="C329">
        <v>0</v>
      </c>
      <c r="D329">
        <v>3</v>
      </c>
    </row>
    <row r="330" spans="1:4" x14ac:dyDescent="0.3">
      <c r="A330" t="s">
        <v>603</v>
      </c>
      <c r="B330" t="s">
        <v>41</v>
      </c>
      <c r="C330">
        <v>2</v>
      </c>
      <c r="D330">
        <v>2</v>
      </c>
    </row>
    <row r="331" spans="1:4" x14ac:dyDescent="0.3">
      <c r="A331" t="s">
        <v>613</v>
      </c>
      <c r="B331" t="s">
        <v>41</v>
      </c>
      <c r="C331">
        <v>0</v>
      </c>
      <c r="D331">
        <v>0.25</v>
      </c>
    </row>
    <row r="332" spans="1:4" x14ac:dyDescent="0.3">
      <c r="A332" t="s">
        <v>725</v>
      </c>
      <c r="B332" t="s">
        <v>41</v>
      </c>
      <c r="C332">
        <v>4</v>
      </c>
      <c r="D332">
        <v>12</v>
      </c>
    </row>
    <row r="333" spans="1:4" x14ac:dyDescent="0.3">
      <c r="A333" t="s">
        <v>773</v>
      </c>
      <c r="B333" t="s">
        <v>41</v>
      </c>
      <c r="C333">
        <v>1</v>
      </c>
      <c r="D333">
        <v>1</v>
      </c>
    </row>
    <row r="334" spans="1:4" x14ac:dyDescent="0.3">
      <c r="A334" t="s">
        <v>595</v>
      </c>
      <c r="B334" t="s">
        <v>41</v>
      </c>
      <c r="C334">
        <v>1</v>
      </c>
      <c r="D334">
        <v>0.5</v>
      </c>
    </row>
    <row r="335" spans="1:4" x14ac:dyDescent="0.3">
      <c r="A335" t="s">
        <v>578</v>
      </c>
      <c r="B335" t="s">
        <v>41</v>
      </c>
      <c r="C335">
        <v>0</v>
      </c>
      <c r="D335">
        <v>2</v>
      </c>
    </row>
    <row r="336" spans="1:4" x14ac:dyDescent="0.3">
      <c r="A336" t="s">
        <v>596</v>
      </c>
      <c r="B336" t="s">
        <v>41</v>
      </c>
      <c r="C336">
        <v>1.5</v>
      </c>
      <c r="D336">
        <v>3.5</v>
      </c>
    </row>
    <row r="337" spans="1:4" x14ac:dyDescent="0.3">
      <c r="A337" t="s">
        <v>776</v>
      </c>
      <c r="B337" t="s">
        <v>41</v>
      </c>
      <c r="C337">
        <v>3</v>
      </c>
      <c r="D337">
        <v>10</v>
      </c>
    </row>
    <row r="338" spans="1:4" x14ac:dyDescent="0.3">
      <c r="A338" t="s">
        <v>777</v>
      </c>
      <c r="B338" t="s">
        <v>41</v>
      </c>
      <c r="C338">
        <v>1</v>
      </c>
      <c r="D338">
        <v>20</v>
      </c>
    </row>
    <row r="339" spans="1:4" x14ac:dyDescent="0.3">
      <c r="A339" t="s">
        <v>609</v>
      </c>
      <c r="B339" t="s">
        <v>41</v>
      </c>
      <c r="C339">
        <v>0.25</v>
      </c>
      <c r="D339">
        <v>10</v>
      </c>
    </row>
    <row r="340" spans="1:4" x14ac:dyDescent="0.3">
      <c r="A340" t="s">
        <v>608</v>
      </c>
      <c r="B340" t="s">
        <v>41</v>
      </c>
      <c r="C340">
        <v>0.25</v>
      </c>
      <c r="D340">
        <v>2.5</v>
      </c>
    </row>
    <row r="341" spans="1:4" x14ac:dyDescent="0.3">
      <c r="A341" t="s">
        <v>778</v>
      </c>
      <c r="B341" t="s">
        <v>41</v>
      </c>
      <c r="C341">
        <v>1</v>
      </c>
      <c r="D341">
        <v>3</v>
      </c>
    </row>
    <row r="342" spans="1:4" x14ac:dyDescent="0.3">
      <c r="A342" t="s">
        <v>779</v>
      </c>
      <c r="B342" t="s">
        <v>41</v>
      </c>
      <c r="C342">
        <v>1</v>
      </c>
      <c r="D342">
        <v>1</v>
      </c>
    </row>
    <row r="343" spans="1:4" x14ac:dyDescent="0.3">
      <c r="A343" t="s">
        <v>942</v>
      </c>
      <c r="B343" t="s">
        <v>41</v>
      </c>
      <c r="C343">
        <v>1</v>
      </c>
      <c r="D343">
        <v>2</v>
      </c>
    </row>
    <row r="344" spans="1:4" x14ac:dyDescent="0.3">
      <c r="A344" t="s">
        <v>607</v>
      </c>
      <c r="B344" t="s">
        <v>41</v>
      </c>
      <c r="C344">
        <v>2.5</v>
      </c>
      <c r="D344">
        <v>1.5</v>
      </c>
    </row>
    <row r="345" spans="1:4" x14ac:dyDescent="0.3">
      <c r="A345" t="s">
        <v>780</v>
      </c>
      <c r="B345" t="s">
        <v>41</v>
      </c>
      <c r="C345">
        <v>5</v>
      </c>
      <c r="D345">
        <v>0.3</v>
      </c>
    </row>
    <row r="346" spans="1:4" x14ac:dyDescent="0.3">
      <c r="A346" t="s">
        <v>3677</v>
      </c>
      <c r="B346" t="s">
        <v>41</v>
      </c>
      <c r="C346">
        <v>1</v>
      </c>
      <c r="D346">
        <v>2</v>
      </c>
    </row>
    <row r="347" spans="1:4" x14ac:dyDescent="0.3">
      <c r="A347" t="s">
        <v>564</v>
      </c>
      <c r="B347" t="s">
        <v>41</v>
      </c>
      <c r="C347">
        <v>0</v>
      </c>
      <c r="D347">
        <v>2</v>
      </c>
    </row>
    <row r="348" spans="1:4" x14ac:dyDescent="0.3">
      <c r="A348" t="s">
        <v>781</v>
      </c>
      <c r="B348" t="s">
        <v>41</v>
      </c>
      <c r="C348">
        <v>1</v>
      </c>
      <c r="D348">
        <v>0.3</v>
      </c>
    </row>
    <row r="349" spans="1:4" x14ac:dyDescent="0.3">
      <c r="A349" t="s">
        <v>604</v>
      </c>
      <c r="B349" t="s">
        <v>41</v>
      </c>
      <c r="C349">
        <v>2.5</v>
      </c>
      <c r="D349">
        <v>2</v>
      </c>
    </row>
    <row r="350" spans="1:4" x14ac:dyDescent="0.3">
      <c r="A350" t="s">
        <v>605</v>
      </c>
      <c r="B350" t="s">
        <v>41</v>
      </c>
      <c r="C350">
        <v>0.375</v>
      </c>
      <c r="D350">
        <v>2</v>
      </c>
    </row>
    <row r="351" spans="1:4" x14ac:dyDescent="0.3">
      <c r="A351" t="s">
        <v>572</v>
      </c>
      <c r="B351" t="s">
        <v>41</v>
      </c>
      <c r="C351">
        <v>0.25</v>
      </c>
      <c r="D351">
        <v>1</v>
      </c>
    </row>
    <row r="352" spans="1:4" x14ac:dyDescent="0.3">
      <c r="A352" t="s">
        <v>601</v>
      </c>
      <c r="B352" t="s">
        <v>41</v>
      </c>
      <c r="C352">
        <v>2.5</v>
      </c>
      <c r="D352">
        <v>0.5</v>
      </c>
    </row>
    <row r="353" spans="1:4" x14ac:dyDescent="0.3">
      <c r="A353" t="s">
        <v>941</v>
      </c>
      <c r="B353" t="s">
        <v>41</v>
      </c>
      <c r="C353">
        <v>1.5</v>
      </c>
      <c r="D353">
        <v>2</v>
      </c>
    </row>
    <row r="354" spans="1:4" x14ac:dyDescent="0.3">
      <c r="A354" t="s">
        <v>943</v>
      </c>
      <c r="B354" t="s">
        <v>41</v>
      </c>
      <c r="C354">
        <v>1</v>
      </c>
      <c r="D354">
        <v>1.5</v>
      </c>
    </row>
    <row r="355" spans="1:4" x14ac:dyDescent="0.3">
      <c r="A355" t="s">
        <v>566</v>
      </c>
      <c r="B355" t="s">
        <v>41</v>
      </c>
      <c r="C355">
        <v>5</v>
      </c>
      <c r="D355">
        <v>4</v>
      </c>
    </row>
    <row r="356" spans="1:4" x14ac:dyDescent="0.3">
      <c r="A356" t="s">
        <v>3678</v>
      </c>
      <c r="B356" t="s">
        <v>41</v>
      </c>
      <c r="C356">
        <v>0.5</v>
      </c>
      <c r="D356">
        <v>0.5</v>
      </c>
    </row>
    <row r="357" spans="1:4" x14ac:dyDescent="0.3">
      <c r="A357" t="s">
        <v>3679</v>
      </c>
      <c r="B357" t="s">
        <v>41</v>
      </c>
      <c r="C357">
        <v>0.5</v>
      </c>
      <c r="D357">
        <v>0.5</v>
      </c>
    </row>
    <row r="358" spans="1:4" x14ac:dyDescent="0.3">
      <c r="A358" t="s">
        <v>782</v>
      </c>
      <c r="B358" t="s">
        <v>41</v>
      </c>
      <c r="C358">
        <v>1</v>
      </c>
      <c r="D358">
        <v>0.4</v>
      </c>
    </row>
    <row r="359" spans="1:4" x14ac:dyDescent="0.3">
      <c r="A359" t="s">
        <v>2466</v>
      </c>
      <c r="B359" t="s">
        <v>41</v>
      </c>
      <c r="C359">
        <v>25</v>
      </c>
      <c r="D359">
        <v>15</v>
      </c>
    </row>
    <row r="360" spans="1:4" x14ac:dyDescent="0.3">
      <c r="A360" t="s">
        <v>783</v>
      </c>
      <c r="B360" t="s">
        <v>41</v>
      </c>
      <c r="C360">
        <v>20</v>
      </c>
      <c r="D360">
        <v>8</v>
      </c>
    </row>
    <row r="361" spans="1:4" x14ac:dyDescent="0.3">
      <c r="A361" t="s">
        <v>784</v>
      </c>
      <c r="B361" t="s">
        <v>41</v>
      </c>
      <c r="C361">
        <v>30</v>
      </c>
      <c r="D361">
        <v>12</v>
      </c>
    </row>
    <row r="362" spans="1:4" x14ac:dyDescent="0.3">
      <c r="A362" t="s">
        <v>785</v>
      </c>
      <c r="B362" t="s">
        <v>930</v>
      </c>
      <c r="C362">
        <v>0</v>
      </c>
      <c r="D362">
        <v>2</v>
      </c>
    </row>
    <row r="363" spans="1:4" x14ac:dyDescent="0.3">
      <c r="A363" t="s">
        <v>786</v>
      </c>
      <c r="B363" t="s">
        <v>930</v>
      </c>
      <c r="C363">
        <v>5</v>
      </c>
      <c r="D363">
        <v>10</v>
      </c>
    </row>
    <row r="364" spans="1:4" x14ac:dyDescent="0.3">
      <c r="A364" t="s">
        <v>787</v>
      </c>
      <c r="B364" t="s">
        <v>930</v>
      </c>
      <c r="C364">
        <v>0</v>
      </c>
      <c r="D364">
        <v>1</v>
      </c>
    </row>
    <row r="365" spans="1:4" x14ac:dyDescent="0.3">
      <c r="A365" t="s">
        <v>788</v>
      </c>
      <c r="B365" t="s">
        <v>930</v>
      </c>
      <c r="C365">
        <v>5</v>
      </c>
      <c r="D365">
        <v>40</v>
      </c>
    </row>
    <row r="366" spans="1:4" x14ac:dyDescent="0.3">
      <c r="A366" t="s">
        <v>789</v>
      </c>
      <c r="B366" t="s">
        <v>930</v>
      </c>
      <c r="C366">
        <v>0</v>
      </c>
      <c r="D366">
        <v>10</v>
      </c>
    </row>
    <row r="367" spans="1:4" x14ac:dyDescent="0.3">
      <c r="A367" t="s">
        <v>790</v>
      </c>
      <c r="B367" t="s">
        <v>930</v>
      </c>
      <c r="C367">
        <v>0</v>
      </c>
      <c r="D367">
        <v>1</v>
      </c>
    </row>
    <row r="368" spans="1:4" x14ac:dyDescent="0.3">
      <c r="A368" t="s">
        <v>791</v>
      </c>
      <c r="B368" t="s">
        <v>930</v>
      </c>
      <c r="C368">
        <v>0</v>
      </c>
      <c r="D368">
        <v>10</v>
      </c>
    </row>
    <row r="369" spans="1:4" x14ac:dyDescent="0.3">
      <c r="A369" t="s">
        <v>792</v>
      </c>
      <c r="B369" t="s">
        <v>930</v>
      </c>
      <c r="C369">
        <v>0</v>
      </c>
      <c r="D369">
        <v>8</v>
      </c>
    </row>
    <row r="370" spans="1:4" x14ac:dyDescent="0.3">
      <c r="A370" t="s">
        <v>793</v>
      </c>
      <c r="B370" t="s">
        <v>930</v>
      </c>
      <c r="C370">
        <v>0</v>
      </c>
      <c r="D370">
        <v>12</v>
      </c>
    </row>
    <row r="371" spans="1:4" x14ac:dyDescent="0.3">
      <c r="A371" t="s">
        <v>794</v>
      </c>
      <c r="B371" t="s">
        <v>930</v>
      </c>
      <c r="C371">
        <v>0</v>
      </c>
      <c r="D371">
        <v>60</v>
      </c>
    </row>
    <row r="372" spans="1:4" x14ac:dyDescent="0.3">
      <c r="A372" t="s">
        <v>795</v>
      </c>
      <c r="B372" t="s">
        <v>930</v>
      </c>
      <c r="C372">
        <v>0</v>
      </c>
      <c r="D372">
        <v>4</v>
      </c>
    </row>
    <row r="373" spans="1:4" x14ac:dyDescent="0.3">
      <c r="A373" t="s">
        <v>796</v>
      </c>
      <c r="B373" t="s">
        <v>930</v>
      </c>
      <c r="C373">
        <v>0</v>
      </c>
      <c r="D373">
        <v>60</v>
      </c>
    </row>
    <row r="374" spans="1:4" x14ac:dyDescent="0.3">
      <c r="A374" t="s">
        <v>3673</v>
      </c>
      <c r="B374" t="s">
        <v>930</v>
      </c>
      <c r="C374">
        <v>0</v>
      </c>
      <c r="D374">
        <v>1</v>
      </c>
    </row>
    <row r="375" spans="1:4" x14ac:dyDescent="0.3">
      <c r="A375" t="s">
        <v>797</v>
      </c>
      <c r="B375" t="s">
        <v>930</v>
      </c>
      <c r="C375">
        <v>0</v>
      </c>
      <c r="D375">
        <v>6</v>
      </c>
    </row>
    <row r="376" spans="1:4" x14ac:dyDescent="0.3">
      <c r="A376" t="s">
        <v>798</v>
      </c>
      <c r="B376" t="s">
        <v>930</v>
      </c>
      <c r="C376">
        <v>0</v>
      </c>
      <c r="D376">
        <v>11</v>
      </c>
    </row>
    <row r="377" spans="1:4" x14ac:dyDescent="0.3">
      <c r="A377" t="s">
        <v>799</v>
      </c>
      <c r="B377" t="s">
        <v>930</v>
      </c>
      <c r="C377">
        <v>0</v>
      </c>
      <c r="D377">
        <v>22</v>
      </c>
    </row>
    <row r="378" spans="1:4" x14ac:dyDescent="0.3">
      <c r="A378" t="s">
        <v>800</v>
      </c>
      <c r="B378" t="s">
        <v>930</v>
      </c>
      <c r="C378">
        <v>0</v>
      </c>
      <c r="D378">
        <v>3.5</v>
      </c>
    </row>
    <row r="379" spans="1:4" x14ac:dyDescent="0.3">
      <c r="A379" t="s">
        <v>801</v>
      </c>
      <c r="B379" t="s">
        <v>930</v>
      </c>
      <c r="C379">
        <v>0</v>
      </c>
      <c r="D379">
        <v>41</v>
      </c>
    </row>
    <row r="380" spans="1:4" x14ac:dyDescent="0.3">
      <c r="A380" t="s">
        <v>802</v>
      </c>
      <c r="B380" t="s">
        <v>930</v>
      </c>
      <c r="C380">
        <v>0</v>
      </c>
      <c r="D380">
        <v>3</v>
      </c>
    </row>
    <row r="381" spans="1:4" x14ac:dyDescent="0.3">
      <c r="A381" t="s">
        <v>803</v>
      </c>
      <c r="B381" t="s">
        <v>930</v>
      </c>
      <c r="C381">
        <v>0</v>
      </c>
      <c r="D381">
        <v>5</v>
      </c>
    </row>
    <row r="382" spans="1:4" x14ac:dyDescent="0.3">
      <c r="A382" t="s">
        <v>804</v>
      </c>
      <c r="B382" t="s">
        <v>930</v>
      </c>
      <c r="C382">
        <v>0</v>
      </c>
      <c r="D382">
        <v>9</v>
      </c>
    </row>
    <row r="383" spans="1:4" x14ac:dyDescent="0.3">
      <c r="A383" t="s">
        <v>805</v>
      </c>
      <c r="B383" t="s">
        <v>930</v>
      </c>
      <c r="C383">
        <v>0</v>
      </c>
      <c r="D383">
        <v>1.6</v>
      </c>
    </row>
    <row r="384" spans="1:4" x14ac:dyDescent="0.3">
      <c r="A384" t="s">
        <v>806</v>
      </c>
      <c r="B384" t="s">
        <v>930</v>
      </c>
      <c r="C384">
        <v>0</v>
      </c>
      <c r="D384">
        <v>19</v>
      </c>
    </row>
    <row r="385" spans="1:4" x14ac:dyDescent="0.3">
      <c r="A385" t="s">
        <v>807</v>
      </c>
      <c r="B385" t="s">
        <v>930</v>
      </c>
      <c r="C385">
        <v>0</v>
      </c>
      <c r="D385">
        <v>10</v>
      </c>
    </row>
    <row r="386" spans="1:4" x14ac:dyDescent="0.3">
      <c r="A386" t="s">
        <v>808</v>
      </c>
      <c r="B386" t="s">
        <v>930</v>
      </c>
      <c r="C386">
        <v>0</v>
      </c>
      <c r="D386">
        <v>15</v>
      </c>
    </row>
    <row r="387" spans="1:4" x14ac:dyDescent="0.3">
      <c r="A387" t="s">
        <v>809</v>
      </c>
      <c r="B387" t="s">
        <v>930</v>
      </c>
      <c r="C387">
        <v>0</v>
      </c>
      <c r="D387">
        <v>30</v>
      </c>
    </row>
    <row r="388" spans="1:4" x14ac:dyDescent="0.3">
      <c r="A388" t="s">
        <v>810</v>
      </c>
      <c r="B388" t="s">
        <v>930</v>
      </c>
      <c r="C388">
        <v>0</v>
      </c>
      <c r="D388">
        <v>5</v>
      </c>
    </row>
    <row r="389" spans="1:4" x14ac:dyDescent="0.3">
      <c r="A389" t="s">
        <v>811</v>
      </c>
      <c r="B389" t="s">
        <v>930</v>
      </c>
      <c r="C389">
        <v>0</v>
      </c>
      <c r="D389">
        <v>60</v>
      </c>
    </row>
    <row r="390" spans="1:4" x14ac:dyDescent="0.3">
      <c r="A390" t="s">
        <v>812</v>
      </c>
      <c r="B390" t="s">
        <v>930</v>
      </c>
      <c r="C390">
        <v>0</v>
      </c>
      <c r="D390">
        <v>8</v>
      </c>
    </row>
    <row r="391" spans="1:4" x14ac:dyDescent="0.3">
      <c r="A391" t="s">
        <v>813</v>
      </c>
      <c r="B391" t="s">
        <v>930</v>
      </c>
      <c r="C391">
        <v>0</v>
      </c>
      <c r="D391">
        <v>12</v>
      </c>
    </row>
    <row r="392" spans="1:4" x14ac:dyDescent="0.3">
      <c r="A392" t="s">
        <v>814</v>
      </c>
      <c r="B392" t="s">
        <v>930</v>
      </c>
      <c r="C392">
        <v>0</v>
      </c>
      <c r="D392">
        <v>60</v>
      </c>
    </row>
    <row r="393" spans="1:4" x14ac:dyDescent="0.3">
      <c r="A393" t="s">
        <v>815</v>
      </c>
      <c r="B393" t="s">
        <v>930</v>
      </c>
      <c r="C393">
        <v>0</v>
      </c>
      <c r="D393">
        <v>4</v>
      </c>
    </row>
    <row r="394" spans="1:4" x14ac:dyDescent="0.3">
      <c r="A394" t="s">
        <v>816</v>
      </c>
      <c r="B394" t="s">
        <v>930</v>
      </c>
      <c r="C394">
        <v>0</v>
      </c>
      <c r="D394">
        <v>48</v>
      </c>
    </row>
    <row r="395" spans="1:4" x14ac:dyDescent="0.3">
      <c r="A395" t="s">
        <v>817</v>
      </c>
      <c r="B395" t="s">
        <v>930</v>
      </c>
      <c r="C395">
        <v>0</v>
      </c>
      <c r="D395">
        <v>0.6</v>
      </c>
    </row>
    <row r="396" spans="1:4" x14ac:dyDescent="0.3">
      <c r="A396" t="s">
        <v>818</v>
      </c>
      <c r="B396" t="s">
        <v>930</v>
      </c>
      <c r="C396">
        <v>0</v>
      </c>
      <c r="D396">
        <v>5</v>
      </c>
    </row>
    <row r="397" spans="1:4" x14ac:dyDescent="0.3">
      <c r="A397" t="s">
        <v>819</v>
      </c>
      <c r="B397" t="s">
        <v>930</v>
      </c>
      <c r="C397">
        <v>0</v>
      </c>
      <c r="D397">
        <v>1</v>
      </c>
    </row>
    <row r="398" spans="1:4" x14ac:dyDescent="0.3">
      <c r="A398" t="s">
        <v>820</v>
      </c>
      <c r="B398" t="s">
        <v>930</v>
      </c>
      <c r="C398">
        <v>0</v>
      </c>
      <c r="D398">
        <v>10</v>
      </c>
    </row>
    <row r="399" spans="1:4" x14ac:dyDescent="0.3">
      <c r="A399" t="s">
        <v>821</v>
      </c>
      <c r="B399" t="s">
        <v>930</v>
      </c>
      <c r="C399">
        <v>0</v>
      </c>
      <c r="D399">
        <v>12</v>
      </c>
    </row>
    <row r="400" spans="1:4" x14ac:dyDescent="0.3">
      <c r="A400" t="s">
        <v>822</v>
      </c>
      <c r="B400" t="s">
        <v>930</v>
      </c>
      <c r="C400">
        <v>0</v>
      </c>
      <c r="D400">
        <v>18</v>
      </c>
    </row>
    <row r="401" spans="1:4" x14ac:dyDescent="0.3">
      <c r="A401" t="s">
        <v>823</v>
      </c>
      <c r="B401" t="s">
        <v>930</v>
      </c>
      <c r="C401">
        <v>0</v>
      </c>
      <c r="D401">
        <v>36</v>
      </c>
    </row>
    <row r="402" spans="1:4" x14ac:dyDescent="0.3">
      <c r="A402" t="s">
        <v>824</v>
      </c>
      <c r="B402" t="s">
        <v>930</v>
      </c>
      <c r="C402">
        <v>0</v>
      </c>
      <c r="D402">
        <v>6</v>
      </c>
    </row>
    <row r="403" spans="1:4" x14ac:dyDescent="0.3">
      <c r="A403" t="s">
        <v>825</v>
      </c>
      <c r="B403" t="s">
        <v>930</v>
      </c>
      <c r="C403">
        <v>0</v>
      </c>
      <c r="D403">
        <v>72</v>
      </c>
    </row>
    <row r="404" spans="1:4" x14ac:dyDescent="0.3">
      <c r="A404" t="s">
        <v>826</v>
      </c>
      <c r="B404" t="s">
        <v>930</v>
      </c>
      <c r="C404">
        <v>0</v>
      </c>
      <c r="D404">
        <v>0.2</v>
      </c>
    </row>
    <row r="405" spans="1:4" x14ac:dyDescent="0.3">
      <c r="A405" t="s">
        <v>827</v>
      </c>
      <c r="B405" t="s">
        <v>930</v>
      </c>
      <c r="C405">
        <v>0</v>
      </c>
      <c r="D405">
        <v>2</v>
      </c>
    </row>
    <row r="406" spans="1:4" x14ac:dyDescent="0.3">
      <c r="A406" t="s">
        <v>828</v>
      </c>
      <c r="B406" t="s">
        <v>930</v>
      </c>
      <c r="C406">
        <v>0</v>
      </c>
      <c r="D406">
        <v>50</v>
      </c>
    </row>
    <row r="407" spans="1:4" x14ac:dyDescent="0.3">
      <c r="A407" t="s">
        <v>829</v>
      </c>
      <c r="B407" t="s">
        <v>930</v>
      </c>
      <c r="C407">
        <v>0</v>
      </c>
      <c r="D407">
        <v>500</v>
      </c>
    </row>
    <row r="408" spans="1:4" x14ac:dyDescent="0.3">
      <c r="A408" t="s">
        <v>830</v>
      </c>
      <c r="B408" t="s">
        <v>930</v>
      </c>
      <c r="C408">
        <v>0</v>
      </c>
      <c r="D408">
        <v>10</v>
      </c>
    </row>
    <row r="409" spans="1:4" x14ac:dyDescent="0.3">
      <c r="A409" t="s">
        <v>831</v>
      </c>
      <c r="B409" t="s">
        <v>930</v>
      </c>
      <c r="C409">
        <v>0</v>
      </c>
      <c r="D409">
        <v>100</v>
      </c>
    </row>
    <row r="410" spans="1:4" x14ac:dyDescent="0.3">
      <c r="A410" t="s">
        <v>832</v>
      </c>
      <c r="B410" t="s">
        <v>930</v>
      </c>
      <c r="C410">
        <v>0</v>
      </c>
      <c r="D410">
        <v>2</v>
      </c>
    </row>
    <row r="411" spans="1:4" x14ac:dyDescent="0.3">
      <c r="A411" t="s">
        <v>833</v>
      </c>
      <c r="B411" t="s">
        <v>930</v>
      </c>
      <c r="C411">
        <v>0</v>
      </c>
      <c r="D411">
        <v>20</v>
      </c>
    </row>
    <row r="412" spans="1:4" x14ac:dyDescent="0.3">
      <c r="A412" t="s">
        <v>834</v>
      </c>
      <c r="B412" t="s">
        <v>930</v>
      </c>
      <c r="C412">
        <v>0</v>
      </c>
      <c r="D412">
        <v>0.18</v>
      </c>
    </row>
    <row r="413" spans="1:4" x14ac:dyDescent="0.3">
      <c r="A413" t="s">
        <v>835</v>
      </c>
      <c r="B413" t="s">
        <v>930</v>
      </c>
      <c r="C413">
        <v>0</v>
      </c>
      <c r="D413">
        <v>1</v>
      </c>
    </row>
    <row r="414" spans="1:4" x14ac:dyDescent="0.3">
      <c r="A414" t="s">
        <v>836</v>
      </c>
      <c r="B414" t="s">
        <v>930</v>
      </c>
      <c r="C414">
        <v>0</v>
      </c>
      <c r="D414">
        <v>50</v>
      </c>
    </row>
    <row r="415" spans="1:4" x14ac:dyDescent="0.3">
      <c r="A415" t="s">
        <v>837</v>
      </c>
      <c r="B415" t="s">
        <v>930</v>
      </c>
      <c r="C415">
        <v>0</v>
      </c>
      <c r="D415">
        <v>500</v>
      </c>
    </row>
    <row r="416" spans="1:4" x14ac:dyDescent="0.3">
      <c r="A416" t="s">
        <v>838</v>
      </c>
      <c r="B416" t="s">
        <v>930</v>
      </c>
      <c r="C416">
        <v>5</v>
      </c>
      <c r="D416">
        <v>1</v>
      </c>
    </row>
    <row r="417" spans="1:4" x14ac:dyDescent="0.3">
      <c r="A417" t="s">
        <v>839</v>
      </c>
      <c r="B417" t="s">
        <v>930</v>
      </c>
      <c r="C417">
        <v>0</v>
      </c>
      <c r="D417">
        <v>2</v>
      </c>
    </row>
    <row r="418" spans="1:4" x14ac:dyDescent="0.3">
      <c r="A418" t="s">
        <v>840</v>
      </c>
      <c r="B418" t="s">
        <v>930</v>
      </c>
      <c r="C418">
        <v>0</v>
      </c>
      <c r="D418">
        <v>40</v>
      </c>
    </row>
    <row r="419" spans="1:4" x14ac:dyDescent="0.3">
      <c r="A419" t="s">
        <v>841</v>
      </c>
      <c r="B419" t="s">
        <v>930</v>
      </c>
      <c r="C419">
        <v>0</v>
      </c>
      <c r="D419">
        <v>2</v>
      </c>
    </row>
    <row r="420" spans="1:4" x14ac:dyDescent="0.3">
      <c r="A420" t="s">
        <v>842</v>
      </c>
      <c r="B420" t="s">
        <v>930</v>
      </c>
      <c r="C420">
        <v>0</v>
      </c>
      <c r="D420">
        <v>20</v>
      </c>
    </row>
    <row r="421" spans="1:4" x14ac:dyDescent="0.3">
      <c r="A421" t="s">
        <v>843</v>
      </c>
      <c r="B421" t="s">
        <v>930</v>
      </c>
      <c r="C421">
        <v>0</v>
      </c>
      <c r="D421">
        <v>0.2</v>
      </c>
    </row>
    <row r="422" spans="1:4" x14ac:dyDescent="0.3">
      <c r="A422" t="s">
        <v>844</v>
      </c>
      <c r="B422" t="s">
        <v>930</v>
      </c>
      <c r="C422">
        <v>0</v>
      </c>
      <c r="D422">
        <v>2</v>
      </c>
    </row>
    <row r="423" spans="1:4" x14ac:dyDescent="0.3">
      <c r="A423" t="s">
        <v>845</v>
      </c>
      <c r="B423" t="s">
        <v>930</v>
      </c>
      <c r="C423">
        <v>0</v>
      </c>
      <c r="D423">
        <v>0.2</v>
      </c>
    </row>
    <row r="424" spans="1:4" x14ac:dyDescent="0.3">
      <c r="A424" t="s">
        <v>846</v>
      </c>
      <c r="B424" t="s">
        <v>930</v>
      </c>
      <c r="C424">
        <v>0</v>
      </c>
      <c r="D424">
        <v>2</v>
      </c>
    </row>
    <row r="425" spans="1:4" x14ac:dyDescent="0.3">
      <c r="A425" t="s">
        <v>847</v>
      </c>
      <c r="B425" t="s">
        <v>930</v>
      </c>
      <c r="C425">
        <v>0</v>
      </c>
      <c r="D425">
        <v>6</v>
      </c>
    </row>
    <row r="426" spans="1:4" x14ac:dyDescent="0.3">
      <c r="A426" t="s">
        <v>848</v>
      </c>
      <c r="B426" t="s">
        <v>930</v>
      </c>
      <c r="C426">
        <v>0</v>
      </c>
      <c r="D426">
        <v>9</v>
      </c>
    </row>
    <row r="427" spans="1:4" x14ac:dyDescent="0.3">
      <c r="A427" t="s">
        <v>849</v>
      </c>
      <c r="B427" t="s">
        <v>930</v>
      </c>
      <c r="C427">
        <v>0</v>
      </c>
      <c r="D427">
        <v>18</v>
      </c>
    </row>
    <row r="428" spans="1:4" x14ac:dyDescent="0.3">
      <c r="A428" t="s">
        <v>850</v>
      </c>
      <c r="B428" t="s">
        <v>930</v>
      </c>
      <c r="C428">
        <v>0</v>
      </c>
      <c r="D428">
        <v>3</v>
      </c>
    </row>
    <row r="429" spans="1:4" x14ac:dyDescent="0.3">
      <c r="A429" t="s">
        <v>851</v>
      </c>
      <c r="B429" t="s">
        <v>930</v>
      </c>
      <c r="C429">
        <v>0</v>
      </c>
      <c r="D429">
        <v>36</v>
      </c>
    </row>
    <row r="430" spans="1:4" x14ac:dyDescent="0.3">
      <c r="A430" t="s">
        <v>852</v>
      </c>
      <c r="B430" t="s">
        <v>930</v>
      </c>
      <c r="C430">
        <v>0</v>
      </c>
      <c r="D430">
        <v>0.2</v>
      </c>
    </row>
    <row r="431" spans="1:4" x14ac:dyDescent="0.3">
      <c r="A431" t="s">
        <v>853</v>
      </c>
      <c r="B431" t="s">
        <v>930</v>
      </c>
      <c r="C431">
        <v>0</v>
      </c>
      <c r="D431">
        <v>1</v>
      </c>
    </row>
    <row r="432" spans="1:4" x14ac:dyDescent="0.3">
      <c r="A432" t="s">
        <v>854</v>
      </c>
      <c r="B432" t="s">
        <v>930</v>
      </c>
      <c r="C432">
        <v>0</v>
      </c>
      <c r="D432">
        <v>0.03</v>
      </c>
    </row>
    <row r="433" spans="1:4" x14ac:dyDescent="0.3">
      <c r="A433" t="s">
        <v>855</v>
      </c>
      <c r="B433" t="s">
        <v>930</v>
      </c>
      <c r="C433">
        <v>0</v>
      </c>
      <c r="D433">
        <v>8</v>
      </c>
    </row>
    <row r="434" spans="1:4" x14ac:dyDescent="0.3">
      <c r="A434" t="s">
        <v>856</v>
      </c>
      <c r="B434" t="s">
        <v>930</v>
      </c>
      <c r="C434">
        <v>0</v>
      </c>
      <c r="D434">
        <v>1.6</v>
      </c>
    </row>
    <row r="435" spans="1:4" x14ac:dyDescent="0.3">
      <c r="A435" t="s">
        <v>857</v>
      </c>
      <c r="B435" t="s">
        <v>930</v>
      </c>
      <c r="C435">
        <v>0</v>
      </c>
      <c r="D435">
        <v>6</v>
      </c>
    </row>
    <row r="436" spans="1:4" x14ac:dyDescent="0.3">
      <c r="A436" t="s">
        <v>858</v>
      </c>
      <c r="B436" t="s">
        <v>930</v>
      </c>
      <c r="C436">
        <v>0</v>
      </c>
      <c r="D436">
        <v>20</v>
      </c>
    </row>
    <row r="437" spans="1:4" x14ac:dyDescent="0.3">
      <c r="A437" t="s">
        <v>859</v>
      </c>
      <c r="B437" t="s">
        <v>930</v>
      </c>
      <c r="C437">
        <v>0</v>
      </c>
      <c r="D437">
        <v>200</v>
      </c>
    </row>
    <row r="438" spans="1:4" x14ac:dyDescent="0.3">
      <c r="A438" t="s">
        <v>860</v>
      </c>
      <c r="B438" t="s">
        <v>930</v>
      </c>
      <c r="C438">
        <v>0</v>
      </c>
      <c r="D438">
        <v>60</v>
      </c>
    </row>
    <row r="439" spans="1:4" x14ac:dyDescent="0.3">
      <c r="A439" t="s">
        <v>861</v>
      </c>
      <c r="B439" t="s">
        <v>930</v>
      </c>
      <c r="C439">
        <v>0</v>
      </c>
      <c r="D439">
        <v>600</v>
      </c>
    </row>
    <row r="440" spans="1:4" x14ac:dyDescent="0.3">
      <c r="A440" t="s">
        <v>3676</v>
      </c>
      <c r="B440" t="s">
        <v>930</v>
      </c>
      <c r="C440">
        <v>0</v>
      </c>
      <c r="D440">
        <v>5</v>
      </c>
    </row>
    <row r="441" spans="1:4" x14ac:dyDescent="0.3">
      <c r="A441" t="s">
        <v>862</v>
      </c>
      <c r="B441" t="s">
        <v>930</v>
      </c>
      <c r="C441">
        <v>0</v>
      </c>
      <c r="D441">
        <v>15</v>
      </c>
    </row>
    <row r="442" spans="1:4" x14ac:dyDescent="0.3">
      <c r="A442" t="s">
        <v>863</v>
      </c>
      <c r="B442" t="s">
        <v>930</v>
      </c>
      <c r="C442">
        <v>0</v>
      </c>
      <c r="D442">
        <v>150</v>
      </c>
    </row>
    <row r="443" spans="1:4" x14ac:dyDescent="0.3">
      <c r="A443" t="s">
        <v>864</v>
      </c>
      <c r="B443" t="s">
        <v>930</v>
      </c>
      <c r="C443">
        <v>0</v>
      </c>
      <c r="D443">
        <v>80</v>
      </c>
    </row>
    <row r="444" spans="1:4" x14ac:dyDescent="0.3">
      <c r="A444" t="s">
        <v>865</v>
      </c>
      <c r="B444" t="s">
        <v>930</v>
      </c>
      <c r="C444">
        <v>0</v>
      </c>
      <c r="D444">
        <v>20</v>
      </c>
    </row>
    <row r="445" spans="1:4" x14ac:dyDescent="0.3">
      <c r="A445" t="s">
        <v>866</v>
      </c>
      <c r="B445" t="s">
        <v>930</v>
      </c>
      <c r="C445">
        <v>0</v>
      </c>
      <c r="D445">
        <v>3</v>
      </c>
    </row>
    <row r="446" spans="1:4" x14ac:dyDescent="0.3">
      <c r="A446" t="s">
        <v>867</v>
      </c>
      <c r="B446" t="s">
        <v>930</v>
      </c>
      <c r="C446">
        <v>0</v>
      </c>
      <c r="D446">
        <v>30</v>
      </c>
    </row>
    <row r="447" spans="1:4" x14ac:dyDescent="0.3">
      <c r="A447" t="s">
        <v>868</v>
      </c>
      <c r="B447" t="s">
        <v>930</v>
      </c>
      <c r="C447">
        <v>0</v>
      </c>
      <c r="D447">
        <v>0.16</v>
      </c>
    </row>
    <row r="448" spans="1:4" x14ac:dyDescent="0.3">
      <c r="A448" t="s">
        <v>869</v>
      </c>
      <c r="B448" t="s">
        <v>930</v>
      </c>
      <c r="C448">
        <v>0</v>
      </c>
      <c r="D448">
        <v>0.8</v>
      </c>
    </row>
    <row r="449" spans="1:4" x14ac:dyDescent="0.3">
      <c r="A449" t="s">
        <v>1557</v>
      </c>
      <c r="B449" t="s">
        <v>930</v>
      </c>
      <c r="C449">
        <v>2</v>
      </c>
      <c r="D449">
        <v>240</v>
      </c>
    </row>
    <row r="450" spans="1:4" x14ac:dyDescent="0.3">
      <c r="A450" t="s">
        <v>1556</v>
      </c>
      <c r="B450" t="s">
        <v>930</v>
      </c>
      <c r="C450">
        <v>2</v>
      </c>
      <c r="D450">
        <v>200</v>
      </c>
    </row>
    <row r="451" spans="1:4" x14ac:dyDescent="0.3">
      <c r="A451" t="s">
        <v>1558</v>
      </c>
      <c r="B451" t="s">
        <v>930</v>
      </c>
      <c r="C451">
        <v>2</v>
      </c>
      <c r="D451">
        <v>300</v>
      </c>
    </row>
    <row r="452" spans="1:4" x14ac:dyDescent="0.3">
      <c r="A452" t="s">
        <v>870</v>
      </c>
      <c r="B452" t="s">
        <v>930</v>
      </c>
      <c r="C452">
        <v>0</v>
      </c>
      <c r="D452">
        <v>100</v>
      </c>
    </row>
    <row r="453" spans="1:4" x14ac:dyDescent="0.3">
      <c r="A453" t="s">
        <v>871</v>
      </c>
      <c r="B453" t="s">
        <v>930</v>
      </c>
      <c r="C453">
        <v>0</v>
      </c>
      <c r="D453">
        <v>1000</v>
      </c>
    </row>
    <row r="454" spans="1:4" x14ac:dyDescent="0.3">
      <c r="A454" t="s">
        <v>872</v>
      </c>
      <c r="B454" t="s">
        <v>930</v>
      </c>
      <c r="C454">
        <v>0</v>
      </c>
      <c r="D454">
        <v>16</v>
      </c>
    </row>
    <row r="455" spans="1:4" x14ac:dyDescent="0.3">
      <c r="A455" t="s">
        <v>873</v>
      </c>
      <c r="B455" t="s">
        <v>930</v>
      </c>
      <c r="C455">
        <v>0</v>
      </c>
      <c r="D455">
        <v>200</v>
      </c>
    </row>
    <row r="456" spans="1:4" x14ac:dyDescent="0.3">
      <c r="A456" t="s">
        <v>874</v>
      </c>
      <c r="B456" t="s">
        <v>930</v>
      </c>
      <c r="C456">
        <v>0</v>
      </c>
      <c r="D456">
        <v>5</v>
      </c>
    </row>
    <row r="457" spans="1:4" x14ac:dyDescent="0.3">
      <c r="A457" t="s">
        <v>875</v>
      </c>
      <c r="B457" t="s">
        <v>930</v>
      </c>
      <c r="C457">
        <v>0</v>
      </c>
      <c r="D457">
        <v>50</v>
      </c>
    </row>
    <row r="458" spans="1:4" x14ac:dyDescent="0.3">
      <c r="A458" t="s">
        <v>876</v>
      </c>
      <c r="B458" t="s">
        <v>930</v>
      </c>
      <c r="C458">
        <v>0</v>
      </c>
      <c r="D458">
        <v>1</v>
      </c>
    </row>
    <row r="459" spans="1:4" x14ac:dyDescent="0.3">
      <c r="A459" t="s">
        <v>877</v>
      </c>
      <c r="B459" t="s">
        <v>930</v>
      </c>
      <c r="C459">
        <v>0</v>
      </c>
      <c r="D459">
        <v>10</v>
      </c>
    </row>
    <row r="460" spans="1:4" x14ac:dyDescent="0.3">
      <c r="A460" t="s">
        <v>878</v>
      </c>
      <c r="B460" t="s">
        <v>930</v>
      </c>
      <c r="C460">
        <v>0</v>
      </c>
      <c r="D460">
        <v>8</v>
      </c>
    </row>
    <row r="461" spans="1:4" x14ac:dyDescent="0.3">
      <c r="A461" t="s">
        <v>879</v>
      </c>
      <c r="B461" t="s">
        <v>930</v>
      </c>
      <c r="C461">
        <v>0</v>
      </c>
      <c r="D461">
        <v>80</v>
      </c>
    </row>
    <row r="462" spans="1:4" x14ac:dyDescent="0.3">
      <c r="A462" t="s">
        <v>880</v>
      </c>
      <c r="B462" t="s">
        <v>930</v>
      </c>
      <c r="C462">
        <v>0</v>
      </c>
      <c r="D462">
        <v>14</v>
      </c>
    </row>
    <row r="463" spans="1:4" x14ac:dyDescent="0.3">
      <c r="A463" t="s">
        <v>881</v>
      </c>
      <c r="B463" t="s">
        <v>930</v>
      </c>
      <c r="C463">
        <v>0</v>
      </c>
      <c r="D463">
        <v>21</v>
      </c>
    </row>
    <row r="464" spans="1:4" x14ac:dyDescent="0.3">
      <c r="A464" t="s">
        <v>882</v>
      </c>
      <c r="B464" t="s">
        <v>930</v>
      </c>
      <c r="C464">
        <v>0</v>
      </c>
      <c r="D464">
        <v>42</v>
      </c>
    </row>
    <row r="465" spans="1:4" x14ac:dyDescent="0.3">
      <c r="A465" t="s">
        <v>883</v>
      </c>
      <c r="B465" t="s">
        <v>930</v>
      </c>
      <c r="C465">
        <v>0</v>
      </c>
      <c r="D465">
        <v>7</v>
      </c>
    </row>
    <row r="466" spans="1:4" x14ac:dyDescent="0.3">
      <c r="A466" t="s">
        <v>884</v>
      </c>
      <c r="B466" t="s">
        <v>930</v>
      </c>
      <c r="C466">
        <v>0</v>
      </c>
      <c r="D466">
        <v>84</v>
      </c>
    </row>
    <row r="467" spans="1:4" x14ac:dyDescent="0.3">
      <c r="A467" t="s">
        <v>885</v>
      </c>
      <c r="B467" t="s">
        <v>930</v>
      </c>
      <c r="C467">
        <v>0</v>
      </c>
      <c r="D467">
        <v>1</v>
      </c>
    </row>
    <row r="468" spans="1:4" x14ac:dyDescent="0.3">
      <c r="A468" t="s">
        <v>886</v>
      </c>
      <c r="B468" t="s">
        <v>930</v>
      </c>
      <c r="C468">
        <v>0</v>
      </c>
      <c r="D468">
        <v>10</v>
      </c>
    </row>
    <row r="469" spans="1:4" x14ac:dyDescent="0.3">
      <c r="A469" t="s">
        <v>887</v>
      </c>
      <c r="B469" t="s">
        <v>930</v>
      </c>
      <c r="C469">
        <v>0</v>
      </c>
      <c r="D469">
        <v>1</v>
      </c>
    </row>
    <row r="470" spans="1:4" x14ac:dyDescent="0.3">
      <c r="A470" t="s">
        <v>888</v>
      </c>
      <c r="B470" t="s">
        <v>930</v>
      </c>
      <c r="C470">
        <v>0</v>
      </c>
      <c r="D470">
        <v>10</v>
      </c>
    </row>
    <row r="471" spans="1:4" x14ac:dyDescent="0.3">
      <c r="A471" t="s">
        <v>1549</v>
      </c>
      <c r="B471" t="s">
        <v>1306</v>
      </c>
      <c r="C471">
        <v>30000</v>
      </c>
      <c r="D471">
        <v>5000</v>
      </c>
    </row>
    <row r="472" spans="1:4" x14ac:dyDescent="0.3">
      <c r="A472" t="s">
        <v>4142</v>
      </c>
      <c r="B472" t="s">
        <v>1306</v>
      </c>
      <c r="C472">
        <v>2000</v>
      </c>
      <c r="D472">
        <v>8000</v>
      </c>
    </row>
    <row r="473" spans="1:4" x14ac:dyDescent="0.3">
      <c r="A473" t="s">
        <v>4759</v>
      </c>
      <c r="B473" t="s">
        <v>1306</v>
      </c>
      <c r="C473">
        <v>400000</v>
      </c>
      <c r="D473">
        <v>1000</v>
      </c>
    </row>
    <row r="474" spans="1:4" x14ac:dyDescent="0.3">
      <c r="A474" t="s">
        <v>4760</v>
      </c>
      <c r="B474" t="s">
        <v>1306</v>
      </c>
      <c r="C474">
        <v>60000</v>
      </c>
      <c r="D474">
        <v>3000</v>
      </c>
    </row>
    <row r="475" spans="1:4" x14ac:dyDescent="0.3">
      <c r="A475" t="s">
        <v>1421</v>
      </c>
      <c r="B475" t="s">
        <v>1306</v>
      </c>
      <c r="C475">
        <v>1500</v>
      </c>
      <c r="D475">
        <v>10</v>
      </c>
    </row>
    <row r="476" spans="1:4" x14ac:dyDescent="0.3">
      <c r="A476" t="s">
        <v>4450</v>
      </c>
      <c r="B476" t="s">
        <v>1306</v>
      </c>
      <c r="C476">
        <v>30</v>
      </c>
      <c r="D476">
        <v>35</v>
      </c>
    </row>
    <row r="477" spans="1:4" x14ac:dyDescent="0.3">
      <c r="A477" t="s">
        <v>4762</v>
      </c>
      <c r="B477" t="s">
        <v>1306</v>
      </c>
      <c r="C477">
        <v>200000</v>
      </c>
      <c r="D477">
        <v>5000</v>
      </c>
    </row>
    <row r="478" spans="1:4" x14ac:dyDescent="0.3">
      <c r="A478" t="s">
        <v>4761</v>
      </c>
      <c r="B478" t="s">
        <v>1306</v>
      </c>
      <c r="C478">
        <v>7000000</v>
      </c>
      <c r="D478">
        <v>40000</v>
      </c>
    </row>
    <row r="479" spans="1:4" x14ac:dyDescent="0.3">
      <c r="A479" t="s">
        <v>4763</v>
      </c>
      <c r="B479" t="s">
        <v>1306</v>
      </c>
      <c r="C479">
        <v>5000000</v>
      </c>
      <c r="D479">
        <v>30000</v>
      </c>
    </row>
    <row r="480" spans="1:4" x14ac:dyDescent="0.3">
      <c r="A480" t="s">
        <v>4451</v>
      </c>
      <c r="B480" t="s">
        <v>1306</v>
      </c>
      <c r="C480">
        <v>200</v>
      </c>
      <c r="D480">
        <v>75</v>
      </c>
    </row>
    <row r="481" spans="1:4" x14ac:dyDescent="0.3">
      <c r="A481" t="s">
        <v>1551</v>
      </c>
      <c r="B481" t="s">
        <v>1306</v>
      </c>
      <c r="C481">
        <v>10000</v>
      </c>
      <c r="D481">
        <v>3000</v>
      </c>
    </row>
    <row r="482" spans="1:4" x14ac:dyDescent="0.3">
      <c r="A482" t="s">
        <v>1550</v>
      </c>
      <c r="B482" t="s">
        <v>1306</v>
      </c>
      <c r="C482">
        <v>8000</v>
      </c>
      <c r="D482">
        <v>1200</v>
      </c>
    </row>
    <row r="483" spans="1:4" x14ac:dyDescent="0.3">
      <c r="A483" t="s">
        <v>1307</v>
      </c>
      <c r="B483" t="s">
        <v>1306</v>
      </c>
      <c r="C483">
        <v>10000</v>
      </c>
      <c r="D483">
        <v>15000</v>
      </c>
    </row>
    <row r="484" spans="1:4" x14ac:dyDescent="0.3">
      <c r="A484" t="s">
        <v>1930</v>
      </c>
      <c r="B484" t="s">
        <v>1306</v>
      </c>
      <c r="C484">
        <v>500</v>
      </c>
      <c r="D484">
        <v>300</v>
      </c>
    </row>
    <row r="485" spans="1:4" x14ac:dyDescent="0.3">
      <c r="A485" t="s">
        <v>1929</v>
      </c>
      <c r="B485" t="s">
        <v>1306</v>
      </c>
      <c r="C485">
        <v>500</v>
      </c>
      <c r="D485">
        <v>150</v>
      </c>
    </row>
    <row r="486" spans="1:4" x14ac:dyDescent="0.3">
      <c r="A486" t="s">
        <v>4765</v>
      </c>
      <c r="B486" t="s">
        <v>1306</v>
      </c>
      <c r="D486">
        <v>100000</v>
      </c>
    </row>
    <row r="487" spans="1:4" x14ac:dyDescent="0.3">
      <c r="A487" t="s">
        <v>1422</v>
      </c>
      <c r="B487" t="s">
        <v>1306</v>
      </c>
      <c r="C487">
        <v>3000</v>
      </c>
      <c r="D487">
        <v>1500</v>
      </c>
    </row>
    <row r="488" spans="1:4" x14ac:dyDescent="0.3">
      <c r="A488" t="s">
        <v>4452</v>
      </c>
      <c r="B488" t="s">
        <v>1306</v>
      </c>
      <c r="C488">
        <v>30</v>
      </c>
      <c r="D488">
        <v>40</v>
      </c>
    </row>
    <row r="489" spans="1:4" x14ac:dyDescent="0.3">
      <c r="A489" t="s">
        <v>1423</v>
      </c>
      <c r="B489" t="s">
        <v>1306</v>
      </c>
      <c r="C489">
        <v>40000</v>
      </c>
      <c r="D489">
        <v>10000</v>
      </c>
    </row>
    <row r="490" spans="1:4" x14ac:dyDescent="0.3">
      <c r="A490" t="s">
        <v>1552</v>
      </c>
      <c r="B490" t="s">
        <v>1306</v>
      </c>
      <c r="C490">
        <v>1500</v>
      </c>
      <c r="D490">
        <v>2000</v>
      </c>
    </row>
    <row r="491" spans="1:4" x14ac:dyDescent="0.3">
      <c r="A491" t="s">
        <v>614</v>
      </c>
      <c r="B491" t="s">
        <v>1306</v>
      </c>
      <c r="C491">
        <v>300</v>
      </c>
      <c r="D491">
        <v>50</v>
      </c>
    </row>
    <row r="492" spans="1:4" x14ac:dyDescent="0.3">
      <c r="A492" t="s">
        <v>1607</v>
      </c>
      <c r="B492" t="s">
        <v>1306</v>
      </c>
      <c r="C492">
        <v>5000</v>
      </c>
      <c r="D492">
        <v>1500</v>
      </c>
    </row>
    <row r="493" spans="1:4" x14ac:dyDescent="0.3">
      <c r="A493" t="s">
        <v>129</v>
      </c>
      <c r="B493" t="s">
        <v>1306</v>
      </c>
      <c r="C493">
        <v>100</v>
      </c>
      <c r="D493">
        <v>5000</v>
      </c>
    </row>
    <row r="494" spans="1:4" x14ac:dyDescent="0.3">
      <c r="A494" t="s">
        <v>4764</v>
      </c>
      <c r="B494" t="s">
        <v>1306</v>
      </c>
      <c r="D494">
        <v>15000</v>
      </c>
    </row>
    <row r="495" spans="1:4" x14ac:dyDescent="0.3">
      <c r="A495" t="s">
        <v>1554</v>
      </c>
      <c r="B495" t="s">
        <v>1306</v>
      </c>
      <c r="C495">
        <v>1500</v>
      </c>
      <c r="D495">
        <v>3500</v>
      </c>
    </row>
    <row r="496" spans="1:4" x14ac:dyDescent="0.3">
      <c r="A496" t="s">
        <v>4766</v>
      </c>
      <c r="B496" t="s">
        <v>1306</v>
      </c>
      <c r="D496">
        <v>10000</v>
      </c>
    </row>
    <row r="497" spans="1:4" x14ac:dyDescent="0.3">
      <c r="A497" t="s">
        <v>1553</v>
      </c>
      <c r="B497" t="s">
        <v>1306</v>
      </c>
      <c r="C497">
        <v>10000</v>
      </c>
      <c r="D497">
        <v>5500</v>
      </c>
    </row>
    <row r="498" spans="1:4" x14ac:dyDescent="0.3">
      <c r="A498" t="s">
        <v>4454</v>
      </c>
      <c r="B498" t="s">
        <v>1306</v>
      </c>
      <c r="C498">
        <v>30</v>
      </c>
      <c r="D498">
        <v>25</v>
      </c>
    </row>
    <row r="499" spans="1:4" x14ac:dyDescent="0.3">
      <c r="A499" t="s">
        <v>1308</v>
      </c>
      <c r="B499" t="s">
        <v>1306</v>
      </c>
      <c r="C499">
        <v>20000</v>
      </c>
      <c r="D499">
        <v>20000</v>
      </c>
    </row>
    <row r="500" spans="1:4" x14ac:dyDescent="0.3">
      <c r="A500" t="s">
        <v>4854</v>
      </c>
      <c r="B500" t="s">
        <v>1306</v>
      </c>
      <c r="C500">
        <v>50</v>
      </c>
      <c r="D500">
        <v>12</v>
      </c>
    </row>
    <row r="501" spans="1:4" x14ac:dyDescent="0.3">
      <c r="A501" t="s">
        <v>4855</v>
      </c>
      <c r="B501" t="s">
        <v>1306</v>
      </c>
      <c r="C501">
        <v>200</v>
      </c>
      <c r="D501">
        <v>800</v>
      </c>
    </row>
    <row r="502" spans="1:4" x14ac:dyDescent="0.3">
      <c r="A502" t="s">
        <v>1309</v>
      </c>
      <c r="B502" t="s">
        <v>1306</v>
      </c>
      <c r="C502">
        <v>200</v>
      </c>
      <c r="D502">
        <v>10000</v>
      </c>
    </row>
    <row r="503" spans="1:4" x14ac:dyDescent="0.3">
      <c r="A503" t="s">
        <v>889</v>
      </c>
      <c r="B503" t="s">
        <v>561</v>
      </c>
      <c r="C503">
        <v>10</v>
      </c>
      <c r="D503">
        <v>3</v>
      </c>
    </row>
    <row r="504" spans="1:4" x14ac:dyDescent="0.3">
      <c r="A504" t="s">
        <v>890</v>
      </c>
      <c r="B504" t="s">
        <v>561</v>
      </c>
      <c r="C504">
        <v>25</v>
      </c>
      <c r="D504">
        <v>30</v>
      </c>
    </row>
    <row r="505" spans="1:4" x14ac:dyDescent="0.3">
      <c r="A505" t="s">
        <v>891</v>
      </c>
      <c r="B505" t="s">
        <v>561</v>
      </c>
      <c r="C505">
        <v>1</v>
      </c>
      <c r="D505">
        <v>0.01</v>
      </c>
    </row>
    <row r="506" spans="1:4" x14ac:dyDescent="0.3">
      <c r="A506" t="s">
        <v>892</v>
      </c>
      <c r="B506" t="s">
        <v>561</v>
      </c>
      <c r="C506">
        <v>0</v>
      </c>
      <c r="D506">
        <v>0.1</v>
      </c>
    </row>
    <row r="507" spans="1:4" x14ac:dyDescent="0.3">
      <c r="A507" t="s">
        <v>575</v>
      </c>
      <c r="B507" t="s">
        <v>561</v>
      </c>
      <c r="C507">
        <v>0</v>
      </c>
      <c r="D507">
        <v>1</v>
      </c>
    </row>
    <row r="508" spans="1:4" x14ac:dyDescent="0.3">
      <c r="A508" t="s">
        <v>2465</v>
      </c>
      <c r="B508" t="s">
        <v>561</v>
      </c>
      <c r="C508">
        <v>0.5</v>
      </c>
      <c r="D508">
        <v>5</v>
      </c>
    </row>
    <row r="509" spans="1:4" x14ac:dyDescent="0.3">
      <c r="A509" t="s">
        <v>567</v>
      </c>
      <c r="B509" t="s">
        <v>561</v>
      </c>
      <c r="C509">
        <v>6</v>
      </c>
      <c r="D509">
        <v>4</v>
      </c>
    </row>
    <row r="510" spans="1:4" x14ac:dyDescent="0.3">
      <c r="A510" t="s">
        <v>894</v>
      </c>
      <c r="B510" t="s">
        <v>561</v>
      </c>
      <c r="C510">
        <v>5</v>
      </c>
      <c r="D510">
        <v>2</v>
      </c>
    </row>
    <row r="511" spans="1:4" x14ac:dyDescent="0.3">
      <c r="A511" t="s">
        <v>944</v>
      </c>
      <c r="B511" t="s">
        <v>561</v>
      </c>
      <c r="C511">
        <v>8</v>
      </c>
      <c r="D511">
        <v>5</v>
      </c>
    </row>
    <row r="512" spans="1:4" x14ac:dyDescent="0.3">
      <c r="A512" t="s">
        <v>895</v>
      </c>
      <c r="B512" t="s">
        <v>561</v>
      </c>
      <c r="C512">
        <v>10</v>
      </c>
      <c r="D512">
        <v>1</v>
      </c>
    </row>
    <row r="513" spans="1:4" x14ac:dyDescent="0.3">
      <c r="A513" t="s">
        <v>896</v>
      </c>
      <c r="B513" t="s">
        <v>561</v>
      </c>
      <c r="C513">
        <v>15</v>
      </c>
      <c r="D513">
        <v>2.5</v>
      </c>
    </row>
    <row r="514" spans="1:4" x14ac:dyDescent="0.3">
      <c r="A514" t="s">
        <v>897</v>
      </c>
      <c r="B514" t="s">
        <v>561</v>
      </c>
      <c r="C514">
        <v>4</v>
      </c>
      <c r="D514">
        <v>0.3</v>
      </c>
    </row>
    <row r="515" spans="1:4" x14ac:dyDescent="0.3">
      <c r="A515" t="s">
        <v>898</v>
      </c>
      <c r="B515" t="s">
        <v>561</v>
      </c>
      <c r="C515">
        <v>0</v>
      </c>
      <c r="D515">
        <v>0.1</v>
      </c>
    </row>
    <row r="516" spans="1:4" x14ac:dyDescent="0.3">
      <c r="A516" t="s">
        <v>1580</v>
      </c>
      <c r="B516" t="s">
        <v>561</v>
      </c>
      <c r="C516">
        <v>2</v>
      </c>
      <c r="D516">
        <v>10</v>
      </c>
    </row>
    <row r="517" spans="1:4" x14ac:dyDescent="0.3">
      <c r="A517" t="s">
        <v>1581</v>
      </c>
      <c r="B517" t="s">
        <v>561</v>
      </c>
      <c r="C517">
        <v>3.5</v>
      </c>
      <c r="D517">
        <v>15</v>
      </c>
    </row>
    <row r="518" spans="1:4" x14ac:dyDescent="0.3">
      <c r="A518" t="s">
        <v>573</v>
      </c>
      <c r="B518" t="s">
        <v>561</v>
      </c>
      <c r="C518">
        <v>1</v>
      </c>
      <c r="D518">
        <v>2</v>
      </c>
    </row>
    <row r="519" spans="1:4" x14ac:dyDescent="0.3">
      <c r="A519" t="s">
        <v>899</v>
      </c>
      <c r="B519" t="s">
        <v>561</v>
      </c>
      <c r="C519">
        <v>1</v>
      </c>
      <c r="D519">
        <v>0.3</v>
      </c>
    </row>
    <row r="520" spans="1:4" x14ac:dyDescent="0.3">
      <c r="A520" t="s">
        <v>902</v>
      </c>
      <c r="B520" t="s">
        <v>561</v>
      </c>
      <c r="C520">
        <v>50</v>
      </c>
      <c r="D520">
        <v>30</v>
      </c>
    </row>
    <row r="521" spans="1:4" x14ac:dyDescent="0.3">
      <c r="A521" t="s">
        <v>901</v>
      </c>
      <c r="B521" t="s">
        <v>561</v>
      </c>
      <c r="C521">
        <v>20</v>
      </c>
      <c r="D521">
        <v>15</v>
      </c>
    </row>
    <row r="522" spans="1:4" x14ac:dyDescent="0.3">
      <c r="A522" t="s">
        <v>903</v>
      </c>
      <c r="B522" t="s">
        <v>561</v>
      </c>
      <c r="C522">
        <v>1</v>
      </c>
      <c r="D522">
        <v>1</v>
      </c>
    </row>
    <row r="523" spans="1:4" x14ac:dyDescent="0.3">
      <c r="A523" t="s">
        <v>610</v>
      </c>
      <c r="B523" t="s">
        <v>561</v>
      </c>
      <c r="C523">
        <v>0.5</v>
      </c>
      <c r="D523">
        <v>2</v>
      </c>
    </row>
    <row r="524" spans="1:4" x14ac:dyDescent="0.3">
      <c r="A524" t="s">
        <v>905</v>
      </c>
      <c r="B524" t="s">
        <v>561</v>
      </c>
      <c r="C524">
        <v>2</v>
      </c>
      <c r="D524">
        <v>5</v>
      </c>
    </row>
    <row r="525" spans="1:4" x14ac:dyDescent="0.3">
      <c r="A525" t="s">
        <v>906</v>
      </c>
      <c r="B525" t="s">
        <v>561</v>
      </c>
      <c r="C525">
        <v>0</v>
      </c>
      <c r="D525">
        <v>0.2</v>
      </c>
    </row>
    <row r="526" spans="1:4" x14ac:dyDescent="0.3">
      <c r="A526" t="s">
        <v>569</v>
      </c>
      <c r="B526" t="s">
        <v>561</v>
      </c>
      <c r="C526">
        <v>0.5</v>
      </c>
      <c r="D526">
        <v>2</v>
      </c>
    </row>
    <row r="527" spans="1:4" x14ac:dyDescent="0.3">
      <c r="A527" t="s">
        <v>1282</v>
      </c>
      <c r="B527" t="s">
        <v>561</v>
      </c>
      <c r="C527">
        <v>0.4</v>
      </c>
      <c r="D527">
        <v>2</v>
      </c>
    </row>
    <row r="528" spans="1:4" x14ac:dyDescent="0.3">
      <c r="A528" t="s">
        <v>907</v>
      </c>
      <c r="B528" t="s">
        <v>561</v>
      </c>
      <c r="C528">
        <v>1</v>
      </c>
      <c r="D528">
        <v>0.6</v>
      </c>
    </row>
    <row r="529" spans="1:5" x14ac:dyDescent="0.3">
      <c r="A529" t="s">
        <v>562</v>
      </c>
      <c r="B529" t="s">
        <v>561</v>
      </c>
      <c r="C529">
        <v>1</v>
      </c>
      <c r="D529">
        <v>1</v>
      </c>
    </row>
    <row r="530" spans="1:5" x14ac:dyDescent="0.3">
      <c r="A530" t="s">
        <v>946</v>
      </c>
      <c r="B530" t="s">
        <v>561</v>
      </c>
      <c r="C530">
        <v>0.5</v>
      </c>
      <c r="D530">
        <v>7</v>
      </c>
    </row>
    <row r="531" spans="1:5" x14ac:dyDescent="0.3">
      <c r="A531" t="s">
        <v>947</v>
      </c>
      <c r="B531" t="s">
        <v>561</v>
      </c>
      <c r="C531">
        <v>0.5</v>
      </c>
      <c r="D531">
        <v>2</v>
      </c>
    </row>
    <row r="532" spans="1:5" x14ac:dyDescent="0.3">
      <c r="A532" t="s">
        <v>4847</v>
      </c>
      <c r="B532" t="s">
        <v>561</v>
      </c>
      <c r="C532">
        <v>0.5</v>
      </c>
      <c r="D532">
        <v>3</v>
      </c>
      <c r="E532" t="s">
        <v>4848</v>
      </c>
    </row>
    <row r="533" spans="1:5" x14ac:dyDescent="0.3">
      <c r="A533" t="s">
        <v>908</v>
      </c>
      <c r="B533" t="s">
        <v>561</v>
      </c>
      <c r="C533">
        <v>2</v>
      </c>
      <c r="D533">
        <v>3</v>
      </c>
    </row>
    <row r="534" spans="1:5" x14ac:dyDescent="0.3">
      <c r="A534" t="s">
        <v>563</v>
      </c>
      <c r="B534" t="s">
        <v>561</v>
      </c>
      <c r="C534">
        <v>2</v>
      </c>
      <c r="D534">
        <v>7</v>
      </c>
    </row>
    <row r="535" spans="1:5" x14ac:dyDescent="0.3">
      <c r="A535" t="s">
        <v>909</v>
      </c>
      <c r="B535" t="s">
        <v>561</v>
      </c>
      <c r="C535">
        <v>2</v>
      </c>
      <c r="D535">
        <v>2</v>
      </c>
    </row>
    <row r="536" spans="1:5" x14ac:dyDescent="0.3">
      <c r="A536" t="s">
        <v>910</v>
      </c>
      <c r="B536" t="s">
        <v>561</v>
      </c>
      <c r="C536">
        <v>2</v>
      </c>
      <c r="D536">
        <v>3</v>
      </c>
    </row>
    <row r="537" spans="1:5" x14ac:dyDescent="0.3">
      <c r="A537" t="s">
        <v>911</v>
      </c>
      <c r="B537" t="s">
        <v>561</v>
      </c>
      <c r="C537">
        <v>0</v>
      </c>
      <c r="D537">
        <v>0.5</v>
      </c>
    </row>
    <row r="538" spans="1:5" x14ac:dyDescent="0.3">
      <c r="A538" t="s">
        <v>1283</v>
      </c>
      <c r="B538" t="s">
        <v>561</v>
      </c>
      <c r="C538">
        <v>1</v>
      </c>
      <c r="D538">
        <v>0.5</v>
      </c>
    </row>
    <row r="539" spans="1:5" x14ac:dyDescent="0.3">
      <c r="A539" t="s">
        <v>912</v>
      </c>
      <c r="B539" t="s">
        <v>561</v>
      </c>
      <c r="C539">
        <v>0</v>
      </c>
      <c r="D539">
        <v>1</v>
      </c>
    </row>
    <row r="540" spans="1:5" x14ac:dyDescent="0.3">
      <c r="A540" t="s">
        <v>1586</v>
      </c>
      <c r="B540" t="s">
        <v>561</v>
      </c>
      <c r="C540">
        <v>7</v>
      </c>
      <c r="D540">
        <v>40</v>
      </c>
    </row>
    <row r="541" spans="1:5" x14ac:dyDescent="0.3">
      <c r="A541" t="s">
        <v>611</v>
      </c>
      <c r="B541" t="s">
        <v>561</v>
      </c>
      <c r="C541">
        <v>0.5</v>
      </c>
      <c r="D541">
        <v>3</v>
      </c>
    </row>
    <row r="542" spans="1:5" x14ac:dyDescent="0.3">
      <c r="A542" t="s">
        <v>612</v>
      </c>
      <c r="B542" t="s">
        <v>561</v>
      </c>
      <c r="C542">
        <v>0.5</v>
      </c>
      <c r="D542">
        <v>11</v>
      </c>
    </row>
    <row r="543" spans="1:5" x14ac:dyDescent="0.3">
      <c r="A543" t="s">
        <v>565</v>
      </c>
      <c r="B543" t="s">
        <v>561</v>
      </c>
      <c r="C543">
        <v>3</v>
      </c>
      <c r="D543">
        <v>4</v>
      </c>
    </row>
    <row r="544" spans="1:5" x14ac:dyDescent="0.3">
      <c r="A544" t="s">
        <v>1587</v>
      </c>
      <c r="B544" t="s">
        <v>561</v>
      </c>
      <c r="C544">
        <v>30</v>
      </c>
      <c r="D544">
        <v>120</v>
      </c>
    </row>
    <row r="545" spans="1:4" x14ac:dyDescent="0.3">
      <c r="A545" t="s">
        <v>1588</v>
      </c>
      <c r="B545" t="s">
        <v>561</v>
      </c>
      <c r="C545">
        <v>50</v>
      </c>
      <c r="D545">
        <v>180</v>
      </c>
    </row>
    <row r="546" spans="1:4" x14ac:dyDescent="0.3">
      <c r="A546" t="s">
        <v>913</v>
      </c>
      <c r="B546" t="s">
        <v>561</v>
      </c>
      <c r="C546">
        <v>3</v>
      </c>
      <c r="D546">
        <v>1</v>
      </c>
    </row>
    <row r="547" spans="1:4" x14ac:dyDescent="0.3">
      <c r="A547" t="s">
        <v>580</v>
      </c>
      <c r="B547" t="s">
        <v>561</v>
      </c>
      <c r="C547">
        <v>0</v>
      </c>
      <c r="D547">
        <v>15</v>
      </c>
    </row>
    <row r="548" spans="1:4" x14ac:dyDescent="0.3">
      <c r="A548" t="s">
        <v>577</v>
      </c>
      <c r="B548" t="s">
        <v>561</v>
      </c>
      <c r="C548">
        <v>6</v>
      </c>
      <c r="D548">
        <v>10</v>
      </c>
    </row>
    <row r="549" spans="1:4" x14ac:dyDescent="0.3">
      <c r="A549" t="s">
        <v>579</v>
      </c>
      <c r="B549" t="s">
        <v>561</v>
      </c>
      <c r="C549">
        <v>1.5</v>
      </c>
      <c r="D549">
        <v>15</v>
      </c>
    </row>
    <row r="550" spans="1:4" x14ac:dyDescent="0.3">
      <c r="A550" t="s">
        <v>914</v>
      </c>
      <c r="B550" t="s">
        <v>561</v>
      </c>
      <c r="C550">
        <v>5</v>
      </c>
      <c r="D550">
        <v>7</v>
      </c>
    </row>
    <row r="551" spans="1:4" x14ac:dyDescent="0.3">
      <c r="A551" t="s">
        <v>915</v>
      </c>
      <c r="B551" t="s">
        <v>561</v>
      </c>
      <c r="C551">
        <v>2</v>
      </c>
      <c r="D551">
        <v>0.06</v>
      </c>
    </row>
    <row r="552" spans="1:4" x14ac:dyDescent="0.3">
      <c r="A552" t="s">
        <v>1284</v>
      </c>
      <c r="B552" t="s">
        <v>561</v>
      </c>
      <c r="C552">
        <v>0</v>
      </c>
      <c r="D552">
        <v>0.1</v>
      </c>
    </row>
    <row r="553" spans="1:4" x14ac:dyDescent="0.3">
      <c r="A553" t="s">
        <v>916</v>
      </c>
      <c r="B553" t="s">
        <v>561</v>
      </c>
      <c r="C553">
        <v>1</v>
      </c>
      <c r="D553">
        <v>0.2</v>
      </c>
    </row>
    <row r="554" spans="1:4" x14ac:dyDescent="0.3">
      <c r="A554" t="s">
        <v>570</v>
      </c>
      <c r="B554" t="s">
        <v>561</v>
      </c>
      <c r="C554">
        <v>1</v>
      </c>
      <c r="D554">
        <v>2</v>
      </c>
    </row>
    <row r="555" spans="1:4" x14ac:dyDescent="0.3">
      <c r="A555" t="s">
        <v>917</v>
      </c>
      <c r="B555" t="s">
        <v>561</v>
      </c>
      <c r="C555">
        <v>1</v>
      </c>
      <c r="D555">
        <v>3</v>
      </c>
    </row>
    <row r="556" spans="1:4" x14ac:dyDescent="0.3">
      <c r="A556" t="s">
        <v>4453</v>
      </c>
      <c r="B556" t="s">
        <v>561</v>
      </c>
      <c r="C556">
        <v>2</v>
      </c>
      <c r="D556">
        <v>30</v>
      </c>
    </row>
    <row r="557" spans="1:4" x14ac:dyDescent="0.3">
      <c r="A557" t="s">
        <v>918</v>
      </c>
      <c r="B557" t="s">
        <v>561</v>
      </c>
      <c r="C557">
        <v>1</v>
      </c>
      <c r="D557">
        <v>1.5</v>
      </c>
    </row>
    <row r="558" spans="1:4" x14ac:dyDescent="0.3">
      <c r="A558" t="s">
        <v>4455</v>
      </c>
      <c r="B558" t="s">
        <v>561</v>
      </c>
      <c r="C558">
        <v>2</v>
      </c>
      <c r="D558">
        <v>10</v>
      </c>
    </row>
    <row r="559" spans="1:4" x14ac:dyDescent="0.3">
      <c r="A559" t="s">
        <v>948</v>
      </c>
      <c r="B559" t="s">
        <v>561</v>
      </c>
      <c r="C559">
        <v>1</v>
      </c>
      <c r="D559">
        <v>7</v>
      </c>
    </row>
    <row r="560" spans="1:4" x14ac:dyDescent="0.3">
      <c r="A560" t="s">
        <v>3672</v>
      </c>
      <c r="B560" t="s">
        <v>561</v>
      </c>
      <c r="C560">
        <v>1</v>
      </c>
      <c r="D560">
        <v>30</v>
      </c>
    </row>
    <row r="561" spans="1:4" x14ac:dyDescent="0.3">
      <c r="A561" t="s">
        <v>4456</v>
      </c>
      <c r="B561" t="s">
        <v>561</v>
      </c>
      <c r="C561">
        <v>2</v>
      </c>
      <c r="D561">
        <v>2</v>
      </c>
    </row>
    <row r="562" spans="1:4" x14ac:dyDescent="0.3">
      <c r="A562" t="s">
        <v>1592</v>
      </c>
      <c r="B562" t="s">
        <v>561</v>
      </c>
      <c r="C562">
        <v>35</v>
      </c>
      <c r="D562">
        <v>60</v>
      </c>
    </row>
    <row r="563" spans="1:4" x14ac:dyDescent="0.3">
      <c r="A563" t="s">
        <v>1285</v>
      </c>
      <c r="B563" t="s">
        <v>561</v>
      </c>
      <c r="C563">
        <v>0.5</v>
      </c>
      <c r="D563">
        <v>2</v>
      </c>
    </row>
    <row r="564" spans="1:4" x14ac:dyDescent="0.3">
      <c r="A564" t="s">
        <v>919</v>
      </c>
      <c r="B564" t="s">
        <v>561</v>
      </c>
      <c r="C564">
        <v>15</v>
      </c>
      <c r="D564">
        <v>5</v>
      </c>
    </row>
    <row r="565" spans="1:4" x14ac:dyDescent="0.3">
      <c r="A565" t="s">
        <v>1593</v>
      </c>
      <c r="B565" t="s">
        <v>561</v>
      </c>
      <c r="C565">
        <v>9</v>
      </c>
      <c r="D565">
        <v>90</v>
      </c>
    </row>
    <row r="566" spans="1:4" x14ac:dyDescent="0.3">
      <c r="A566" t="s">
        <v>1594</v>
      </c>
      <c r="B566" t="s">
        <v>561</v>
      </c>
      <c r="C566">
        <v>15</v>
      </c>
      <c r="D566">
        <v>100</v>
      </c>
    </row>
    <row r="567" spans="1:4" x14ac:dyDescent="0.3">
      <c r="A567" t="s">
        <v>1612</v>
      </c>
      <c r="B567" t="s">
        <v>561</v>
      </c>
      <c r="C567">
        <v>1</v>
      </c>
      <c r="D567">
        <v>2</v>
      </c>
    </row>
    <row r="568" spans="1:4" x14ac:dyDescent="0.3">
      <c r="A568" t="s">
        <v>1613</v>
      </c>
      <c r="B568" t="s">
        <v>561</v>
      </c>
      <c r="C568">
        <v>2</v>
      </c>
      <c r="D568">
        <v>3</v>
      </c>
    </row>
    <row r="569" spans="1:4" x14ac:dyDescent="0.3">
      <c r="A569" t="s">
        <v>920</v>
      </c>
      <c r="B569" t="s">
        <v>561</v>
      </c>
      <c r="C569">
        <v>2</v>
      </c>
      <c r="D569">
        <v>6</v>
      </c>
    </row>
  </sheetData>
  <sortState xmlns:xlrd2="http://schemas.microsoft.com/office/spreadsheetml/2017/richdata2" ref="A37:D71">
    <sortCondition ref="B37:B71"/>
    <sortCondition ref="A37:A71"/>
    <sortCondition ref="D37:D71"/>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tabColor rgb="FFFF0000"/>
  </sheetPr>
  <dimension ref="A1:U230"/>
  <sheetViews>
    <sheetView workbookViewId="0">
      <pane ySplit="1" topLeftCell="A62" activePane="bottomLeft" state="frozen"/>
      <selection activeCell="G280" sqref="G280"/>
      <selection pane="bottomLeft" activeCell="Y80" sqref="Y80"/>
    </sheetView>
  </sheetViews>
  <sheetFormatPr baseColWidth="10" defaultRowHeight="14.4" x14ac:dyDescent="0.3"/>
  <cols>
    <col min="1" max="1" width="11.44140625" customWidth="1"/>
    <col min="2" max="2" width="34" style="24" customWidth="1"/>
    <col min="3" max="3" width="21.6640625" style="61" customWidth="1"/>
    <col min="4" max="4" width="5.5546875" style="58" customWidth="1"/>
    <col min="5" max="7" width="4.6640625" style="58" customWidth="1"/>
    <col min="8" max="8" width="5.44140625" style="58" customWidth="1"/>
    <col min="9" max="9" width="13.44140625" style="252" customWidth="1"/>
    <col min="10" max="10" width="12.109375" style="252" customWidth="1"/>
    <col min="11" max="11" width="12.109375" style="58" customWidth="1"/>
    <col min="12" max="13" width="4.6640625" style="58" customWidth="1"/>
    <col min="14" max="14" width="7.109375" style="58" customWidth="1"/>
    <col min="15" max="17" width="5.33203125" style="58" customWidth="1"/>
    <col min="18" max="19" width="4.88671875" style="58" customWidth="1"/>
    <col min="20" max="20" width="3.88671875" style="58" customWidth="1"/>
    <col min="21" max="21" width="22.6640625" style="58" customWidth="1"/>
  </cols>
  <sheetData>
    <row r="1" spans="1:21" ht="24" customHeight="1" x14ac:dyDescent="0.3">
      <c r="B1" s="59" t="s">
        <v>397</v>
      </c>
      <c r="C1" s="60" t="s">
        <v>396</v>
      </c>
      <c r="D1" s="57" t="s">
        <v>377</v>
      </c>
      <c r="E1" s="84" t="s">
        <v>3686</v>
      </c>
      <c r="F1" s="57" t="s">
        <v>369</v>
      </c>
      <c r="G1" s="62" t="s">
        <v>548</v>
      </c>
      <c r="H1" s="84" t="s">
        <v>3684</v>
      </c>
      <c r="I1" s="251" t="s">
        <v>3685</v>
      </c>
      <c r="J1" s="251" t="s">
        <v>3778</v>
      </c>
      <c r="K1" s="251" t="s">
        <v>3760</v>
      </c>
      <c r="L1" s="56" t="s">
        <v>371</v>
      </c>
      <c r="M1" s="56" t="s">
        <v>372</v>
      </c>
      <c r="N1" s="57" t="s">
        <v>373</v>
      </c>
      <c r="O1" s="56" t="s">
        <v>374</v>
      </c>
      <c r="P1" s="33" t="s">
        <v>1288</v>
      </c>
      <c r="Q1" s="33" t="s">
        <v>1254</v>
      </c>
      <c r="R1" s="33" t="s">
        <v>356</v>
      </c>
      <c r="S1" s="253" t="s">
        <v>4746</v>
      </c>
      <c r="T1" s="33" t="s">
        <v>3692</v>
      </c>
      <c r="U1" s="56" t="s">
        <v>375</v>
      </c>
    </row>
    <row r="2" spans="1:21" x14ac:dyDescent="0.3">
      <c r="A2" t="str">
        <f t="shared" ref="A2:A15" si="0">IF(OR(AnnéeJeu&lt;N2,déAgilité&lt;S2),"",B2)</f>
        <v>Bâton (1,5m)</v>
      </c>
      <c r="B2" t="s">
        <v>542</v>
      </c>
      <c r="C2" s="61" t="s">
        <v>532</v>
      </c>
      <c r="D2" s="58" t="s">
        <v>522</v>
      </c>
      <c r="E2" s="58" t="s">
        <v>522</v>
      </c>
      <c r="F2" s="58">
        <f>IF(déForce="",'Perso Reloaded'!E14,IF('Perso Reloaded'!E14="",déForce,""))</f>
        <v>0</v>
      </c>
      <c r="G2" s="58">
        <v>2</v>
      </c>
      <c r="H2" s="58" t="s">
        <v>522</v>
      </c>
      <c r="I2" s="58" t="s">
        <v>522</v>
      </c>
      <c r="J2" s="58" t="str">
        <f>CONCATENATE('Perso Classic'!C50,"d",déForce,"+ 1d6")</f>
        <v>d0+ 1d6</v>
      </c>
      <c r="K2" s="58" t="str">
        <f>CONCATENATE('Perso Reloaded'!$C$14,"d",'Perso Reloaded'!$E$14)</f>
        <v>d</v>
      </c>
      <c r="L2" s="58" t="s">
        <v>522</v>
      </c>
      <c r="M2" s="58" t="s">
        <v>522</v>
      </c>
      <c r="N2" s="58">
        <v>0</v>
      </c>
      <c r="O2" s="58">
        <v>1</v>
      </c>
      <c r="P2" s="58" t="s">
        <v>522</v>
      </c>
      <c r="Q2" s="58">
        <v>21</v>
      </c>
      <c r="R2" s="58">
        <v>1</v>
      </c>
      <c r="S2" s="58">
        <v>0</v>
      </c>
      <c r="T2" s="58" t="s">
        <v>522</v>
      </c>
      <c r="U2" s="58" t="s">
        <v>549</v>
      </c>
    </row>
    <row r="3" spans="1:21" x14ac:dyDescent="0.3">
      <c r="A3" t="str">
        <f t="shared" si="0"/>
        <v>Bâton (3m)</v>
      </c>
      <c r="B3" s="24" t="s">
        <v>543</v>
      </c>
      <c r="C3" s="61" t="s">
        <v>532</v>
      </c>
      <c r="D3" s="58" t="s">
        <v>522</v>
      </c>
      <c r="E3" s="58" t="s">
        <v>522</v>
      </c>
      <c r="F3" s="58">
        <f>IF(déForce="",'Perso Reloaded'!E14,IF('Perso Reloaded'!E14="",déForce,""))</f>
        <v>0</v>
      </c>
      <c r="G3" s="58">
        <v>3</v>
      </c>
      <c r="H3" s="58" t="s">
        <v>522</v>
      </c>
      <c r="I3" s="58" t="s">
        <v>522</v>
      </c>
      <c r="J3" s="58" t="str">
        <f>CONCATENATE('Perso Classic'!C50,"d",déForce,"+ 2d6")</f>
        <v>d0+ 2d6</v>
      </c>
      <c r="K3" s="58" t="str">
        <f>CONCATENATE('Perso Reloaded'!$C$14,"d",'Perso Reloaded'!$E$14)</f>
        <v>d</v>
      </c>
      <c r="L3" s="58" t="s">
        <v>522</v>
      </c>
      <c r="M3" s="58" t="s">
        <v>522</v>
      </c>
      <c r="N3" s="58">
        <v>0</v>
      </c>
      <c r="O3" s="58">
        <v>2</v>
      </c>
      <c r="P3" s="58" t="s">
        <v>522</v>
      </c>
      <c r="Q3" s="58">
        <v>21</v>
      </c>
      <c r="R3" s="58">
        <v>2</v>
      </c>
      <c r="S3" s="58">
        <v>0</v>
      </c>
      <c r="T3" s="58" t="s">
        <v>522</v>
      </c>
      <c r="U3" s="58" t="s">
        <v>549</v>
      </c>
    </row>
    <row r="4" spans="1:21" x14ac:dyDescent="0.3">
      <c r="A4" t="str">
        <f t="shared" si="0"/>
        <v/>
      </c>
      <c r="B4" s="24" t="s">
        <v>4745</v>
      </c>
      <c r="C4" s="61" t="s">
        <v>532</v>
      </c>
      <c r="D4" s="58" t="s">
        <v>522</v>
      </c>
      <c r="E4" s="58" t="s">
        <v>522</v>
      </c>
      <c r="F4" s="58">
        <v>2</v>
      </c>
      <c r="G4" s="58">
        <v>3</v>
      </c>
      <c r="H4" s="58" t="s">
        <v>522</v>
      </c>
      <c r="I4" s="58" t="s">
        <v>522</v>
      </c>
      <c r="J4" s="58" t="str">
        <f>CONCATENATE('Perso Classic'!C50,"d",déForce,"+ 2d4")</f>
        <v>d0+ 2d4</v>
      </c>
      <c r="K4" s="58" t="str">
        <f>CONCATENATE('Perso Reloaded'!$C$14,"d",'Perso Reloaded'!$E$14," +1d4")</f>
        <v>d +1d4</v>
      </c>
      <c r="L4" s="58" t="s">
        <v>522</v>
      </c>
      <c r="M4" s="58" t="s">
        <v>522</v>
      </c>
      <c r="N4" s="58">
        <v>1</v>
      </c>
      <c r="O4" s="58">
        <v>45</v>
      </c>
      <c r="P4" s="58" t="s">
        <v>522</v>
      </c>
      <c r="Q4" s="58">
        <v>21</v>
      </c>
      <c r="R4" s="58">
        <v>8</v>
      </c>
      <c r="S4" s="58">
        <v>10</v>
      </c>
      <c r="T4" s="58" t="s">
        <v>522</v>
      </c>
      <c r="U4" s="58" t="s">
        <v>4755</v>
      </c>
    </row>
    <row r="5" spans="1:21" x14ac:dyDescent="0.3">
      <c r="A5" t="str">
        <f t="shared" si="0"/>
        <v/>
      </c>
      <c r="B5" s="24" t="s">
        <v>544</v>
      </c>
      <c r="C5" s="61" t="s">
        <v>532</v>
      </c>
      <c r="D5" s="58" t="s">
        <v>522</v>
      </c>
      <c r="E5" s="58" t="s">
        <v>522</v>
      </c>
      <c r="F5" s="58">
        <f>IF(OR(déForce="",'Perso Reloaded'!E14=""),0,déForce*2)</f>
        <v>0</v>
      </c>
      <c r="G5" s="58">
        <v>0</v>
      </c>
      <c r="H5" s="58" t="s">
        <v>522</v>
      </c>
      <c r="I5" s="58" t="s">
        <v>522</v>
      </c>
      <c r="J5" s="58" t="str">
        <f>CONCATENATE('Perso Classic'!C50,"d",déForce,"+ 2d8")</f>
        <v>d0+ 2d8</v>
      </c>
      <c r="K5" s="58" t="str">
        <f>CONCATENATE('Perso Reloaded'!$C$14,"d",'Perso Reloaded'!$E$14," +1d6")</f>
        <v>d +1d6</v>
      </c>
      <c r="L5" s="58" t="s">
        <v>522</v>
      </c>
      <c r="M5" s="58" t="s">
        <v>522</v>
      </c>
      <c r="N5" s="58">
        <v>0</v>
      </c>
      <c r="O5" s="58">
        <v>50</v>
      </c>
      <c r="P5" s="58" t="s">
        <v>522</v>
      </c>
      <c r="Q5" s="58">
        <v>21</v>
      </c>
      <c r="R5" s="58">
        <v>1</v>
      </c>
      <c r="S5" s="58">
        <v>8</v>
      </c>
      <c r="T5" s="58" t="s">
        <v>522</v>
      </c>
      <c r="U5" s="58" t="s">
        <v>4747</v>
      </c>
    </row>
    <row r="6" spans="1:21" x14ac:dyDescent="0.3">
      <c r="A6" t="str">
        <f t="shared" si="0"/>
        <v>Epée chinoise</v>
      </c>
      <c r="B6" s="24" t="s">
        <v>545</v>
      </c>
      <c r="C6" s="61" t="s">
        <v>532</v>
      </c>
      <c r="D6" s="58" t="s">
        <v>522</v>
      </c>
      <c r="E6" s="58" t="s">
        <v>522</v>
      </c>
      <c r="F6" s="58">
        <f>IF(OR(déForce="",'Perso Reloaded'!E14=""),0,déForce*2)</f>
        <v>0</v>
      </c>
      <c r="G6" s="58">
        <v>2</v>
      </c>
      <c r="H6" s="58" t="s">
        <v>522</v>
      </c>
      <c r="I6" s="58" t="s">
        <v>522</v>
      </c>
      <c r="J6" s="58" t="str">
        <f>CONCATENATE('Perso Classic'!C50,"d",déForce,"+ 2d8")</f>
        <v>d0+ 2d8</v>
      </c>
      <c r="K6" s="58" t="str">
        <f>CONCATENATE('Perso Reloaded'!$C$14,"d",'Perso Reloaded'!$E$14)</f>
        <v>d</v>
      </c>
      <c r="L6" s="58" t="s">
        <v>522</v>
      </c>
      <c r="M6" s="58" t="s">
        <v>522</v>
      </c>
      <c r="N6" s="58">
        <v>0</v>
      </c>
      <c r="O6" s="58">
        <v>15</v>
      </c>
      <c r="P6" s="58" t="s">
        <v>522</v>
      </c>
      <c r="Q6" s="58">
        <v>21</v>
      </c>
      <c r="R6" s="58">
        <v>2</v>
      </c>
      <c r="S6" s="58">
        <v>0</v>
      </c>
      <c r="T6" s="58" t="s">
        <v>522</v>
      </c>
      <c r="U6" s="58" t="s">
        <v>549</v>
      </c>
    </row>
    <row r="7" spans="1:21" x14ac:dyDescent="0.3">
      <c r="A7" t="str">
        <f t="shared" si="0"/>
        <v/>
      </c>
      <c r="B7" s="24" t="s">
        <v>4742</v>
      </c>
      <c r="C7" s="61" t="s">
        <v>532</v>
      </c>
      <c r="D7" s="58" t="s">
        <v>522</v>
      </c>
      <c r="E7" s="58" t="s">
        <v>522</v>
      </c>
      <c r="F7" s="58">
        <v>0</v>
      </c>
      <c r="G7" s="58">
        <v>2</v>
      </c>
      <c r="H7" s="58" t="s">
        <v>522</v>
      </c>
      <c r="I7" s="58" t="s">
        <v>522</v>
      </c>
      <c r="J7" s="58" t="str">
        <f>CONCATENATE('Perso Classic'!C50,"d",déForce,"+ 2d4")</f>
        <v>d0+ 2d4</v>
      </c>
      <c r="K7" s="58" t="str">
        <f>CONCATENATE('Perso Reloaded'!$C$14,"d",'Perso Reloaded'!$E$14," +1d4")</f>
        <v>d +1d4</v>
      </c>
      <c r="L7" s="58" t="s">
        <v>522</v>
      </c>
      <c r="M7" s="58" t="s">
        <v>522</v>
      </c>
      <c r="N7" s="58">
        <v>0</v>
      </c>
      <c r="O7" s="58">
        <v>4</v>
      </c>
      <c r="P7" s="58" t="s">
        <v>522</v>
      </c>
      <c r="Q7" s="58">
        <v>21</v>
      </c>
      <c r="R7" s="58">
        <v>0.5</v>
      </c>
      <c r="S7" s="58">
        <v>6</v>
      </c>
      <c r="T7" s="58" t="s">
        <v>522</v>
      </c>
      <c r="U7" s="58" t="s">
        <v>4748</v>
      </c>
    </row>
    <row r="8" spans="1:21" x14ac:dyDescent="0.3">
      <c r="A8" t="str">
        <f t="shared" si="0"/>
        <v/>
      </c>
      <c r="B8" s="24" t="s">
        <v>547</v>
      </c>
      <c r="C8" s="61" t="s">
        <v>532</v>
      </c>
      <c r="D8" s="58" t="s">
        <v>522</v>
      </c>
      <c r="E8" s="58" t="s">
        <v>522</v>
      </c>
      <c r="F8" s="58">
        <f>IF(OR(déForce="",'Perso Reloaded'!E14=""),0,déForce*2)</f>
        <v>0</v>
      </c>
      <c r="G8" s="58">
        <v>0</v>
      </c>
      <c r="H8" s="58" t="s">
        <v>522</v>
      </c>
      <c r="I8" s="58" t="s">
        <v>522</v>
      </c>
      <c r="J8" s="58" t="str">
        <f>CONCATENATE('Perso Classic'!C50,"d",déForce,"+ 2d4")</f>
        <v>d0+ 2d4</v>
      </c>
      <c r="K8" s="58" t="str">
        <f>CONCATENATE('Perso Reloaded'!$C$14,"d",'Perso Reloaded'!$E$14," +1d4")</f>
        <v>d +1d4</v>
      </c>
      <c r="L8" s="58" t="s">
        <v>522</v>
      </c>
      <c r="M8" s="58" t="s">
        <v>522</v>
      </c>
      <c r="N8" s="58">
        <v>0</v>
      </c>
      <c r="O8" s="58">
        <v>30</v>
      </c>
      <c r="P8" s="58" t="s">
        <v>522</v>
      </c>
      <c r="Q8" s="58">
        <v>21</v>
      </c>
      <c r="R8" s="58">
        <v>1.5</v>
      </c>
      <c r="S8" s="58">
        <v>8</v>
      </c>
      <c r="T8" s="58" t="s">
        <v>522</v>
      </c>
      <c r="U8" s="58" t="s">
        <v>4749</v>
      </c>
    </row>
    <row r="9" spans="1:21" x14ac:dyDescent="0.3">
      <c r="A9" t="str">
        <f t="shared" si="0"/>
        <v/>
      </c>
      <c r="B9" s="24" t="s">
        <v>546</v>
      </c>
      <c r="C9" s="61" t="s">
        <v>532</v>
      </c>
      <c r="D9" s="58" t="s">
        <v>522</v>
      </c>
      <c r="E9" s="58" t="s">
        <v>522</v>
      </c>
      <c r="F9" s="58">
        <v>3</v>
      </c>
      <c r="G9" s="58">
        <v>0</v>
      </c>
      <c r="H9" s="58" t="s">
        <v>522</v>
      </c>
      <c r="I9" s="58" t="s">
        <v>4753</v>
      </c>
      <c r="J9" s="58" t="s">
        <v>550</v>
      </c>
      <c r="K9" s="58" t="s">
        <v>550</v>
      </c>
      <c r="L9" s="58" t="s">
        <v>522</v>
      </c>
      <c r="M9" s="58" t="s">
        <v>522</v>
      </c>
      <c r="N9" s="58">
        <v>0</v>
      </c>
      <c r="O9" s="58">
        <v>150</v>
      </c>
      <c r="P9" s="58" t="s">
        <v>522</v>
      </c>
      <c r="Q9" s="58">
        <v>21</v>
      </c>
      <c r="R9" s="58">
        <v>3</v>
      </c>
      <c r="S9" s="58">
        <v>10</v>
      </c>
      <c r="T9" s="58" t="s">
        <v>522</v>
      </c>
      <c r="U9" s="58" t="s">
        <v>4754</v>
      </c>
    </row>
    <row r="10" spans="1:21" x14ac:dyDescent="0.3">
      <c r="A10" t="str">
        <f t="shared" si="0"/>
        <v/>
      </c>
      <c r="B10" s="24" t="s">
        <v>4743</v>
      </c>
      <c r="C10" s="61" t="s">
        <v>532</v>
      </c>
      <c r="D10" s="58" t="s">
        <v>522</v>
      </c>
      <c r="E10" s="58" t="s">
        <v>522</v>
      </c>
      <c r="F10" s="58">
        <v>0</v>
      </c>
      <c r="G10" s="58">
        <v>0</v>
      </c>
      <c r="H10" s="58" t="s">
        <v>522</v>
      </c>
      <c r="I10" s="58" t="s">
        <v>522</v>
      </c>
      <c r="J10" s="58" t="str">
        <f>CONCATENATE('Perso Classic'!C50,"d",déForce,"+ 2d4")</f>
        <v>d0+ 2d4</v>
      </c>
      <c r="K10" s="58" t="str">
        <f>CONCATENATE('Perso Reloaded'!$C$14,"d",'Perso Reloaded'!$E$14," +1d4")</f>
        <v>d +1d4</v>
      </c>
      <c r="L10" s="58" t="s">
        <v>522</v>
      </c>
      <c r="M10" s="58" t="s">
        <v>522</v>
      </c>
      <c r="N10" s="58">
        <v>0</v>
      </c>
      <c r="O10" s="58">
        <v>30</v>
      </c>
      <c r="P10" s="58" t="s">
        <v>522</v>
      </c>
      <c r="Q10" s="58">
        <v>21</v>
      </c>
      <c r="R10" s="58">
        <v>2</v>
      </c>
      <c r="S10" s="58">
        <v>8</v>
      </c>
      <c r="T10" s="58" t="s">
        <v>522</v>
      </c>
      <c r="U10" s="58" t="s">
        <v>4750</v>
      </c>
    </row>
    <row r="11" spans="1:21" x14ac:dyDescent="0.3">
      <c r="A11" t="str">
        <f t="shared" si="0"/>
        <v/>
      </c>
      <c r="B11" s="24" t="s">
        <v>4744</v>
      </c>
      <c r="C11" s="61" t="s">
        <v>532</v>
      </c>
      <c r="D11" s="58" t="s">
        <v>522</v>
      </c>
      <c r="E11" s="58" t="s">
        <v>522</v>
      </c>
      <c r="F11" s="58">
        <v>0</v>
      </c>
      <c r="G11" s="58">
        <v>0</v>
      </c>
      <c r="H11" s="58" t="s">
        <v>522</v>
      </c>
      <c r="I11" s="58" t="s">
        <v>522</v>
      </c>
      <c r="J11" s="252" t="s">
        <v>4756</v>
      </c>
      <c r="K11" s="58" t="str">
        <f>CONCATENATE('Perso Reloaded'!$C$14,"d",'Perso Reloaded'!$E$14," +1d4")</f>
        <v>d +1d4</v>
      </c>
      <c r="L11" s="58" t="s">
        <v>522</v>
      </c>
      <c r="M11" s="58" t="s">
        <v>522</v>
      </c>
      <c r="N11" s="58">
        <v>0</v>
      </c>
      <c r="O11" s="58">
        <v>6</v>
      </c>
      <c r="P11" s="58" t="s">
        <v>522</v>
      </c>
      <c r="Q11" s="58">
        <v>21</v>
      </c>
      <c r="R11" s="58">
        <v>2</v>
      </c>
      <c r="S11" s="58">
        <v>6</v>
      </c>
      <c r="T11" s="58" t="s">
        <v>522</v>
      </c>
      <c r="U11" s="58" t="s">
        <v>4751</v>
      </c>
    </row>
    <row r="12" spans="1:21" x14ac:dyDescent="0.3">
      <c r="A12" t="str">
        <f t="shared" si="0"/>
        <v>Shuriken</v>
      </c>
      <c r="B12" s="24" t="s">
        <v>4758</v>
      </c>
      <c r="C12" s="61" t="s">
        <v>532</v>
      </c>
      <c r="D12" s="58" t="s">
        <v>522</v>
      </c>
      <c r="E12" s="58">
        <v>1</v>
      </c>
      <c r="F12" s="58">
        <v>1</v>
      </c>
      <c r="G12" s="58">
        <v>1</v>
      </c>
      <c r="H12" s="58">
        <v>5</v>
      </c>
      <c r="I12" s="252" t="s">
        <v>4752</v>
      </c>
      <c r="J12" s="58" t="str">
        <f>CONCATENATE('Perso Classic'!$C$50,"d",déForce,"+ 1d6")</f>
        <v>d0+ 1d6</v>
      </c>
      <c r="K12" s="58" t="str">
        <f>CONCATENATE('Perso Reloaded'!$C$14,"d",'Perso Reloaded'!$E$14," +1")</f>
        <v>d +1</v>
      </c>
      <c r="L12" s="58">
        <v>0</v>
      </c>
      <c r="M12" s="58">
        <v>2</v>
      </c>
      <c r="N12" s="58">
        <v>0</v>
      </c>
      <c r="O12" s="58">
        <v>3</v>
      </c>
      <c r="P12" s="58" t="s">
        <v>522</v>
      </c>
      <c r="Q12" s="58">
        <v>21</v>
      </c>
      <c r="R12" s="58">
        <v>0.5</v>
      </c>
      <c r="S12" s="58">
        <v>0</v>
      </c>
      <c r="T12" s="58" t="s">
        <v>522</v>
      </c>
      <c r="U12" s="58" t="s">
        <v>522</v>
      </c>
    </row>
    <row r="13" spans="1:21" x14ac:dyDescent="0.3">
      <c r="A13" t="str">
        <f t="shared" si="0"/>
        <v/>
      </c>
      <c r="B13" s="24" t="s">
        <v>1342</v>
      </c>
      <c r="C13" s="61" t="s">
        <v>1340</v>
      </c>
      <c r="D13" s="89" t="s">
        <v>1344</v>
      </c>
      <c r="E13" s="58" t="s">
        <v>1347</v>
      </c>
      <c r="F13" s="58">
        <v>4</v>
      </c>
      <c r="G13" s="58">
        <v>3</v>
      </c>
      <c r="H13" s="58">
        <v>250</v>
      </c>
      <c r="I13" s="252" t="s">
        <v>3733</v>
      </c>
      <c r="J13" s="58" t="s">
        <v>1349</v>
      </c>
      <c r="K13" s="58" t="s">
        <v>1349</v>
      </c>
      <c r="L13" s="58" t="s">
        <v>522</v>
      </c>
      <c r="M13" s="58" t="s">
        <v>522</v>
      </c>
      <c r="N13" s="58">
        <v>1863</v>
      </c>
      <c r="O13" s="58">
        <v>6000</v>
      </c>
      <c r="P13" s="58" t="s">
        <v>522</v>
      </c>
      <c r="Q13" s="58">
        <v>21</v>
      </c>
      <c r="R13" s="58">
        <v>900</v>
      </c>
      <c r="S13" s="58">
        <v>0</v>
      </c>
      <c r="T13" s="58" t="s">
        <v>522</v>
      </c>
      <c r="U13" s="58" t="s">
        <v>522</v>
      </c>
    </row>
    <row r="14" spans="1:21" x14ac:dyDescent="0.3">
      <c r="A14" t="str">
        <f t="shared" si="0"/>
        <v/>
      </c>
      <c r="B14" s="24" t="s">
        <v>1346</v>
      </c>
      <c r="C14" s="61" t="s">
        <v>1340</v>
      </c>
      <c r="D14" s="89" t="s">
        <v>1345</v>
      </c>
      <c r="E14" s="58" t="s">
        <v>1347</v>
      </c>
      <c r="F14" s="58">
        <v>4</v>
      </c>
      <c r="G14" s="58">
        <v>3</v>
      </c>
      <c r="H14" s="58">
        <v>350</v>
      </c>
      <c r="I14" s="252" t="s">
        <v>3734</v>
      </c>
      <c r="J14" s="58" t="s">
        <v>1349</v>
      </c>
      <c r="K14" s="58" t="s">
        <v>1349</v>
      </c>
      <c r="L14" s="58" t="s">
        <v>522</v>
      </c>
      <c r="M14" s="58" t="s">
        <v>522</v>
      </c>
      <c r="N14" s="58">
        <v>1863</v>
      </c>
      <c r="O14" s="58">
        <v>7000</v>
      </c>
      <c r="P14" s="58" t="s">
        <v>522</v>
      </c>
      <c r="Q14" s="58">
        <v>21</v>
      </c>
      <c r="R14" s="58">
        <v>1500</v>
      </c>
      <c r="S14" s="58">
        <v>0</v>
      </c>
      <c r="T14" s="58" t="s">
        <v>522</v>
      </c>
      <c r="U14" s="58" t="s">
        <v>522</v>
      </c>
    </row>
    <row r="15" spans="1:21" x14ac:dyDescent="0.3">
      <c r="A15" t="str">
        <f t="shared" si="0"/>
        <v/>
      </c>
      <c r="B15" s="24" t="s">
        <v>1341</v>
      </c>
      <c r="C15" s="61" t="s">
        <v>1340</v>
      </c>
      <c r="D15" s="89" t="s">
        <v>1343</v>
      </c>
      <c r="E15" s="58" t="s">
        <v>1347</v>
      </c>
      <c r="F15" s="58">
        <v>3</v>
      </c>
      <c r="G15" s="58">
        <v>1</v>
      </c>
      <c r="H15" s="58">
        <v>150</v>
      </c>
      <c r="I15" s="252" t="s">
        <v>3732</v>
      </c>
      <c r="J15" s="58" t="s">
        <v>1348</v>
      </c>
      <c r="K15" s="58" t="s">
        <v>1348</v>
      </c>
      <c r="L15" s="58" t="s">
        <v>522</v>
      </c>
      <c r="M15" s="58" t="s">
        <v>522</v>
      </c>
      <c r="N15" s="58">
        <v>1863</v>
      </c>
      <c r="O15" s="58">
        <v>5000</v>
      </c>
      <c r="P15" s="58" t="s">
        <v>522</v>
      </c>
      <c r="Q15" s="58">
        <v>21</v>
      </c>
      <c r="R15" s="58">
        <v>750</v>
      </c>
      <c r="S15" s="58">
        <v>0</v>
      </c>
      <c r="T15" s="58" t="s">
        <v>522</v>
      </c>
      <c r="U15" s="58" t="s">
        <v>522</v>
      </c>
    </row>
    <row r="16" spans="1:21" x14ac:dyDescent="0.3">
      <c r="A16" t="str">
        <f t="shared" ref="A16:A40" si="1">IF(OR(AnnéeJeu&lt;N16,déForce&lt;S16),"",B16)</f>
        <v/>
      </c>
      <c r="B16" s="24" t="s">
        <v>3789</v>
      </c>
      <c r="C16" s="61" t="s">
        <v>531</v>
      </c>
      <c r="D16" s="58" t="s">
        <v>522</v>
      </c>
      <c r="E16" s="58" t="s">
        <v>522</v>
      </c>
      <c r="F16" s="58">
        <v>1</v>
      </c>
      <c r="G16" s="58">
        <v>1</v>
      </c>
      <c r="H16" s="58" t="s">
        <v>522</v>
      </c>
      <c r="I16" s="58" t="s">
        <v>522</v>
      </c>
      <c r="J16" s="58" t="str">
        <f>CONCATENATE('Perso Classic'!C50,"d",déForce,"+ 1d6")</f>
        <v>d0+ 1d6</v>
      </c>
      <c r="K16" s="58" t="str">
        <f>CONCATENATE('Perso Reloaded'!$C$14,"d",'Perso Reloaded'!$E$14)</f>
        <v>d</v>
      </c>
      <c r="L16" s="58" t="s">
        <v>522</v>
      </c>
      <c r="M16" s="58" t="s">
        <v>522</v>
      </c>
      <c r="N16" s="58">
        <v>1670</v>
      </c>
      <c r="O16" s="58">
        <v>2</v>
      </c>
      <c r="P16" s="58" t="s">
        <v>522</v>
      </c>
      <c r="Q16" s="58">
        <v>21</v>
      </c>
      <c r="R16" s="58">
        <v>0.5</v>
      </c>
      <c r="S16" s="58">
        <v>0</v>
      </c>
      <c r="T16" s="58" t="s">
        <v>522</v>
      </c>
      <c r="U16" s="58" t="s">
        <v>3719</v>
      </c>
    </row>
    <row r="17" spans="1:21" x14ac:dyDescent="0.3">
      <c r="A17" t="str">
        <f t="shared" si="1"/>
        <v>Bowie knife</v>
      </c>
      <c r="B17" s="24" t="s">
        <v>538</v>
      </c>
      <c r="C17" s="61" t="s">
        <v>531</v>
      </c>
      <c r="D17" s="58" t="s">
        <v>522</v>
      </c>
      <c r="E17" s="58" t="s">
        <v>522</v>
      </c>
      <c r="F17" s="58">
        <v>1</v>
      </c>
      <c r="G17" s="58">
        <v>1</v>
      </c>
      <c r="H17" s="58" t="s">
        <v>522</v>
      </c>
      <c r="I17" s="58" t="s">
        <v>522</v>
      </c>
      <c r="J17" s="58" t="str">
        <f>CONCATENATE('Perso Classic'!$C$50,"d",déForce,"+ 1d4+1")</f>
        <v>d0+ 1d4+1</v>
      </c>
      <c r="K17" s="58" t="str">
        <f>CONCATENATE('Perso Reloaded'!$C$14,"d",'Perso Reloaded'!$E$14)</f>
        <v>d</v>
      </c>
      <c r="L17" s="58" t="s">
        <v>522</v>
      </c>
      <c r="M17" s="58" t="s">
        <v>522</v>
      </c>
      <c r="N17" s="58">
        <v>0</v>
      </c>
      <c r="O17" s="58">
        <v>4</v>
      </c>
      <c r="P17" s="58" t="s">
        <v>522</v>
      </c>
      <c r="Q17" s="58">
        <v>21</v>
      </c>
      <c r="R17" s="58">
        <v>1</v>
      </c>
      <c r="S17" s="58">
        <v>0</v>
      </c>
      <c r="T17" s="58">
        <v>1</v>
      </c>
      <c r="U17" s="58" t="s">
        <v>549</v>
      </c>
    </row>
    <row r="18" spans="1:21" x14ac:dyDescent="0.3">
      <c r="A18" t="str">
        <f t="shared" si="1"/>
        <v>Bâton de guerre indien</v>
      </c>
      <c r="B18" s="24" t="s">
        <v>2468</v>
      </c>
      <c r="C18" s="61" t="s">
        <v>531</v>
      </c>
      <c r="D18" s="58" t="s">
        <v>522</v>
      </c>
      <c r="E18" s="58" t="s">
        <v>522</v>
      </c>
      <c r="F18" s="58">
        <v>2</v>
      </c>
      <c r="G18" s="58">
        <v>1</v>
      </c>
      <c r="H18" s="58" t="s">
        <v>522</v>
      </c>
      <c r="I18" s="58" t="s">
        <v>522</v>
      </c>
      <c r="J18" s="58" t="str">
        <f>CONCATENATE('Perso Classic'!$C$50,"d",déForce,"+ 2d6")</f>
        <v>d0+ 2d6</v>
      </c>
      <c r="K18" s="58" t="str">
        <f>CONCATENATE('Perso Reloaded'!$C$14,"d",'Perso Reloaded'!$E$14)</f>
        <v>d</v>
      </c>
      <c r="L18" s="58" t="s">
        <v>522</v>
      </c>
      <c r="M18" s="58" t="s">
        <v>522</v>
      </c>
      <c r="N18" s="58">
        <v>0</v>
      </c>
      <c r="O18" s="58">
        <v>8</v>
      </c>
      <c r="P18" s="58" t="s">
        <v>522</v>
      </c>
      <c r="Q18" s="58">
        <v>21</v>
      </c>
      <c r="R18" s="58">
        <v>3</v>
      </c>
      <c r="S18" s="58">
        <v>0</v>
      </c>
      <c r="T18" s="58">
        <v>2</v>
      </c>
      <c r="U18" s="58" t="s">
        <v>3721</v>
      </c>
    </row>
    <row r="19" spans="1:21" x14ac:dyDescent="0.3">
      <c r="A19" t="str">
        <f t="shared" si="1"/>
        <v xml:space="preserve">Couteau  </v>
      </c>
      <c r="B19" s="24" t="s">
        <v>537</v>
      </c>
      <c r="C19" s="61" t="s">
        <v>531</v>
      </c>
      <c r="D19" s="58" t="s">
        <v>522</v>
      </c>
      <c r="E19" s="58" t="s">
        <v>522</v>
      </c>
      <c r="F19" s="58">
        <v>1</v>
      </c>
      <c r="G19" s="58">
        <v>1</v>
      </c>
      <c r="H19" s="58" t="s">
        <v>522</v>
      </c>
      <c r="I19" s="58" t="s">
        <v>522</v>
      </c>
      <c r="J19" s="58" t="str">
        <f>CONCATENATE('Perso Classic'!$C$50,"d",déForce,"+ 1d4")</f>
        <v>d0+ 1d4</v>
      </c>
      <c r="K19" s="58" t="str">
        <f>CONCATENATE('Perso Reloaded'!$C$14,"d",'Perso Reloaded'!$E$14)</f>
        <v>d</v>
      </c>
      <c r="L19" s="58" t="s">
        <v>522</v>
      </c>
      <c r="M19" s="58" t="s">
        <v>522</v>
      </c>
      <c r="N19" s="58">
        <v>0</v>
      </c>
      <c r="O19" s="58">
        <v>2</v>
      </c>
      <c r="P19" s="58" t="s">
        <v>522</v>
      </c>
      <c r="Q19" s="58">
        <v>21</v>
      </c>
      <c r="R19" s="58">
        <v>1</v>
      </c>
      <c r="S19" s="58">
        <v>0</v>
      </c>
      <c r="T19" s="58" t="s">
        <v>522</v>
      </c>
      <c r="U19" s="58" t="s">
        <v>549</v>
      </c>
    </row>
    <row r="20" spans="1:21" x14ac:dyDescent="0.3">
      <c r="A20" t="str">
        <f t="shared" si="1"/>
        <v>Couteau de botte</v>
      </c>
      <c r="B20" s="24" t="s">
        <v>4856</v>
      </c>
      <c r="C20" s="61" t="s">
        <v>531</v>
      </c>
      <c r="D20" s="58" t="s">
        <v>522</v>
      </c>
      <c r="E20" s="58" t="s">
        <v>522</v>
      </c>
      <c r="F20" s="58">
        <v>1</v>
      </c>
      <c r="G20" s="58">
        <v>1</v>
      </c>
      <c r="H20" s="58" t="s">
        <v>522</v>
      </c>
      <c r="I20" s="58" t="s">
        <v>522</v>
      </c>
      <c r="J20" s="58" t="str">
        <f>CONCATENATE('Perso Classic'!$C$50,"d",déForce,"+ 2d4+1")</f>
        <v>d0+ 2d4+1</v>
      </c>
      <c r="K20" s="58" t="str">
        <f>CONCATENATE('Perso Reloaded'!$C$14,"d",'Perso Reloaded'!$E$14,"+d4+1")</f>
        <v>d+d4+1</v>
      </c>
      <c r="L20" s="58" t="s">
        <v>522</v>
      </c>
      <c r="M20" s="58" t="s">
        <v>522</v>
      </c>
      <c r="N20" s="58">
        <v>0</v>
      </c>
      <c r="O20" s="58">
        <v>2</v>
      </c>
      <c r="P20" s="58" t="s">
        <v>522</v>
      </c>
      <c r="Q20" s="58">
        <v>21</v>
      </c>
      <c r="R20" s="58">
        <v>1</v>
      </c>
      <c r="S20" s="58">
        <v>0</v>
      </c>
      <c r="T20" s="58">
        <v>2</v>
      </c>
      <c r="U20" s="58" t="s">
        <v>549</v>
      </c>
    </row>
    <row r="21" spans="1:21" x14ac:dyDescent="0.3">
      <c r="A21" t="str">
        <f t="shared" si="1"/>
        <v>Crosse de pistolet, bouteille, chaise</v>
      </c>
      <c r="B21" s="24" t="s">
        <v>535</v>
      </c>
      <c r="C21" s="61" t="s">
        <v>531</v>
      </c>
      <c r="D21" s="58" t="s">
        <v>522</v>
      </c>
      <c r="E21" s="58" t="s">
        <v>522</v>
      </c>
      <c r="F21" s="58">
        <v>1</v>
      </c>
      <c r="G21" s="58">
        <v>0</v>
      </c>
      <c r="H21" s="58" t="s">
        <v>522</v>
      </c>
      <c r="I21" s="58" t="s">
        <v>522</v>
      </c>
      <c r="J21" s="58" t="str">
        <f>CONCATENATE('Perso Classic'!$C$50,"d",déForce,"+ 1d4")</f>
        <v>d0+ 1d4</v>
      </c>
      <c r="K21" s="58" t="str">
        <f>CONCATENATE('Perso Reloaded'!$C$14,"d",'Perso Reloaded'!$E$14)</f>
        <v>d</v>
      </c>
      <c r="L21" s="58" t="s">
        <v>522</v>
      </c>
      <c r="M21" s="58" t="s">
        <v>522</v>
      </c>
      <c r="N21" s="58">
        <v>0</v>
      </c>
      <c r="O21" s="58">
        <v>0</v>
      </c>
      <c r="P21" s="58" t="s">
        <v>522</v>
      </c>
      <c r="Q21" s="58">
        <v>21</v>
      </c>
      <c r="R21" s="58">
        <v>2</v>
      </c>
      <c r="S21" s="58">
        <v>0</v>
      </c>
      <c r="T21" s="58" t="s">
        <v>522</v>
      </c>
      <c r="U21" s="58" t="s">
        <v>549</v>
      </c>
    </row>
    <row r="22" spans="1:21" x14ac:dyDescent="0.3">
      <c r="A22" t="str">
        <f t="shared" si="1"/>
        <v>Fouet</v>
      </c>
      <c r="B22" s="24" t="s">
        <v>118</v>
      </c>
      <c r="C22" s="61" t="s">
        <v>531</v>
      </c>
      <c r="D22" s="58" t="s">
        <v>522</v>
      </c>
      <c r="E22" s="58" t="s">
        <v>522</v>
      </c>
      <c r="F22" s="58">
        <v>2</v>
      </c>
      <c r="G22" s="58">
        <v>1</v>
      </c>
      <c r="H22" s="58" t="s">
        <v>522</v>
      </c>
      <c r="I22" s="58" t="s">
        <v>522</v>
      </c>
      <c r="J22" s="58" t="str">
        <f>CONCATENATE('Perso Classic'!$C$50,"d",déForce)</f>
        <v>d0</v>
      </c>
      <c r="K22" s="58" t="str">
        <f>CONCATENATE('Perso Reloaded'!$C$14,"d",'Perso Reloaded'!$E$14)</f>
        <v>d</v>
      </c>
      <c r="L22" s="58" t="s">
        <v>522</v>
      </c>
      <c r="M22" s="58" t="s">
        <v>522</v>
      </c>
      <c r="N22" s="58">
        <v>0</v>
      </c>
      <c r="O22" s="58">
        <v>10</v>
      </c>
      <c r="P22" s="58" t="s">
        <v>522</v>
      </c>
      <c r="Q22" s="58">
        <v>21</v>
      </c>
      <c r="R22" s="58">
        <v>1</v>
      </c>
      <c r="S22" s="58">
        <v>0</v>
      </c>
      <c r="T22" s="58" t="s">
        <v>522</v>
      </c>
      <c r="U22" s="58" t="s">
        <v>3720</v>
      </c>
    </row>
    <row r="23" spans="1:21" x14ac:dyDescent="0.3">
      <c r="A23" t="str">
        <f t="shared" si="1"/>
        <v>Gros gourdin, crosse de fusil</v>
      </c>
      <c r="B23" s="24" t="s">
        <v>536</v>
      </c>
      <c r="C23" s="61" t="s">
        <v>531</v>
      </c>
      <c r="D23" s="58" t="s">
        <v>522</v>
      </c>
      <c r="E23" s="58" t="s">
        <v>522</v>
      </c>
      <c r="F23" s="58">
        <v>2</v>
      </c>
      <c r="G23" s="58">
        <v>1</v>
      </c>
      <c r="H23" s="58" t="s">
        <v>522</v>
      </c>
      <c r="I23" s="58" t="s">
        <v>522</v>
      </c>
      <c r="J23" s="58" t="str">
        <f>CONCATENATE('Perso Classic'!$C$50,"d",déForce,"+ 1d6")</f>
        <v>d0+ 1d6</v>
      </c>
      <c r="K23" s="58" t="str">
        <f>CONCATENATE('Perso Reloaded'!$C$14,"d",'Perso Reloaded'!$E$14)</f>
        <v>d</v>
      </c>
      <c r="L23" s="58" t="s">
        <v>522</v>
      </c>
      <c r="M23" s="58" t="s">
        <v>522</v>
      </c>
      <c r="N23" s="58">
        <v>0</v>
      </c>
      <c r="O23" s="58">
        <v>0</v>
      </c>
      <c r="P23" s="58" t="s">
        <v>522</v>
      </c>
      <c r="Q23" s="58">
        <v>21</v>
      </c>
      <c r="R23" s="58">
        <v>1.5</v>
      </c>
      <c r="S23" s="58">
        <v>0</v>
      </c>
      <c r="T23" s="58" t="s">
        <v>522</v>
      </c>
      <c r="U23" s="58" t="s">
        <v>549</v>
      </c>
    </row>
    <row r="24" spans="1:21" x14ac:dyDescent="0.3">
      <c r="A24" t="str">
        <f t="shared" si="1"/>
        <v>Lance</v>
      </c>
      <c r="B24" s="24" t="s">
        <v>539</v>
      </c>
      <c r="C24" s="61" t="s">
        <v>531</v>
      </c>
      <c r="D24" s="58" t="s">
        <v>522</v>
      </c>
      <c r="E24" s="58" t="s">
        <v>522</v>
      </c>
      <c r="F24" s="58">
        <v>1</v>
      </c>
      <c r="G24" s="58">
        <v>1</v>
      </c>
      <c r="H24" s="58" t="s">
        <v>522</v>
      </c>
      <c r="I24" s="58" t="s">
        <v>522</v>
      </c>
      <c r="J24" s="58" t="str">
        <f>CONCATENATE('Perso Classic'!$C$50,"d",déForce,"+ 2d6")</f>
        <v>d0+ 2d6</v>
      </c>
      <c r="K24" s="58" t="str">
        <f>CONCATENATE('Perso Reloaded'!$C$14,"d",'Perso Reloaded'!$E$14)</f>
        <v>d</v>
      </c>
      <c r="L24" s="58" t="s">
        <v>522</v>
      </c>
      <c r="M24" s="58" t="s">
        <v>522</v>
      </c>
      <c r="N24" s="58">
        <v>0</v>
      </c>
      <c r="O24" s="58">
        <v>3</v>
      </c>
      <c r="P24" s="58" t="s">
        <v>522</v>
      </c>
      <c r="Q24" s="58">
        <v>21</v>
      </c>
      <c r="R24" s="58">
        <v>2.5</v>
      </c>
      <c r="S24" s="58">
        <v>0</v>
      </c>
      <c r="T24" s="58" t="s">
        <v>522</v>
      </c>
      <c r="U24" s="58" t="s">
        <v>549</v>
      </c>
    </row>
    <row r="25" spans="1:21" x14ac:dyDescent="0.3">
      <c r="A25" t="str">
        <f t="shared" si="1"/>
        <v>Lance (pointe en obsidienne)</v>
      </c>
      <c r="B25" s="24" t="s">
        <v>2110</v>
      </c>
      <c r="C25" s="61" t="s">
        <v>531</v>
      </c>
      <c r="D25" s="58" t="s">
        <v>522</v>
      </c>
      <c r="E25" s="58" t="s">
        <v>522</v>
      </c>
      <c r="F25" s="58">
        <v>1</v>
      </c>
      <c r="G25" s="58">
        <v>1</v>
      </c>
      <c r="H25" s="58" t="s">
        <v>522</v>
      </c>
      <c r="I25" s="58" t="s">
        <v>522</v>
      </c>
      <c r="J25" s="58" t="str">
        <f>CONCATENATE('Perso Classic'!$C$50,"d",déForce,"+ 2d6")</f>
        <v>d0+ 2d6</v>
      </c>
      <c r="K25" s="58" t="str">
        <f>CONCATENATE('Perso Reloaded'!$C$14,"d",'Perso Reloaded'!$E$14)</f>
        <v>d</v>
      </c>
      <c r="L25" s="58" t="s">
        <v>522</v>
      </c>
      <c r="M25" s="58" t="s">
        <v>522</v>
      </c>
      <c r="N25" s="58">
        <v>0</v>
      </c>
      <c r="O25" s="58">
        <v>5</v>
      </c>
      <c r="P25" s="58" t="s">
        <v>522</v>
      </c>
      <c r="Q25" s="58">
        <v>21</v>
      </c>
      <c r="R25" s="58">
        <v>2.5</v>
      </c>
      <c r="S25" s="58">
        <v>0</v>
      </c>
      <c r="T25" s="58" t="s">
        <v>522</v>
      </c>
      <c r="U25" s="58" t="s">
        <v>549</v>
      </c>
    </row>
    <row r="26" spans="1:21" x14ac:dyDescent="0.3">
      <c r="A26" t="str">
        <f t="shared" si="1"/>
        <v>Lasso</v>
      </c>
      <c r="B26" s="24" t="s">
        <v>114</v>
      </c>
      <c r="C26" s="61" t="s">
        <v>531</v>
      </c>
      <c r="D26" s="58" t="s">
        <v>522</v>
      </c>
      <c r="E26" s="58" t="s">
        <v>522</v>
      </c>
      <c r="F26" s="58">
        <v>2</v>
      </c>
      <c r="G26" s="58">
        <v>0</v>
      </c>
      <c r="H26" s="58" t="s">
        <v>522</v>
      </c>
      <c r="I26" s="58" t="s">
        <v>522</v>
      </c>
      <c r="J26" s="58">
        <v>0</v>
      </c>
      <c r="K26" s="58">
        <v>0</v>
      </c>
      <c r="L26" s="58" t="s">
        <v>522</v>
      </c>
      <c r="M26" s="58" t="s">
        <v>522</v>
      </c>
      <c r="N26" s="58">
        <v>0</v>
      </c>
      <c r="O26" s="58">
        <v>4</v>
      </c>
      <c r="P26" s="58" t="s">
        <v>522</v>
      </c>
      <c r="Q26" s="58">
        <v>21</v>
      </c>
      <c r="R26" s="58">
        <v>1.4</v>
      </c>
      <c r="S26" s="58">
        <v>0</v>
      </c>
      <c r="T26" s="58" t="s">
        <v>522</v>
      </c>
      <c r="U26" s="58" t="s">
        <v>549</v>
      </c>
    </row>
    <row r="27" spans="1:21" x14ac:dyDescent="0.3">
      <c r="A27" t="str">
        <f t="shared" si="1"/>
        <v>Macahuitl (bâton à 1 main)</v>
      </c>
      <c r="B27" s="24" t="s">
        <v>2107</v>
      </c>
      <c r="C27" s="61" t="s">
        <v>531</v>
      </c>
      <c r="D27" s="58" t="s">
        <v>522</v>
      </c>
      <c r="E27" s="58" t="s">
        <v>522</v>
      </c>
      <c r="F27" s="58">
        <v>0</v>
      </c>
      <c r="G27" s="58">
        <v>2</v>
      </c>
      <c r="H27" s="58" t="s">
        <v>522</v>
      </c>
      <c r="I27" s="58" t="s">
        <v>522</v>
      </c>
      <c r="J27" s="58" t="str">
        <f>CONCATENATE('Perso Classic'!$C$50,"d",déForce,"+ 1d4")</f>
        <v>d0+ 1d4</v>
      </c>
      <c r="K27" s="58" t="str">
        <f>CONCATENATE('Perso Reloaded'!$C$14,"d",'Perso Reloaded'!$E$14)</f>
        <v>d</v>
      </c>
      <c r="L27" s="58" t="s">
        <v>522</v>
      </c>
      <c r="M27" s="58" t="s">
        <v>522</v>
      </c>
      <c r="N27" s="58">
        <v>0</v>
      </c>
      <c r="O27" s="58">
        <v>5</v>
      </c>
      <c r="P27" s="58" t="s">
        <v>522</v>
      </c>
      <c r="Q27" s="58">
        <v>21</v>
      </c>
      <c r="R27" s="58">
        <v>2.5</v>
      </c>
      <c r="S27" s="58">
        <v>0</v>
      </c>
      <c r="T27" s="58" t="s">
        <v>522</v>
      </c>
      <c r="U27" s="58" t="s">
        <v>3721</v>
      </c>
    </row>
    <row r="28" spans="1:21" x14ac:dyDescent="0.3">
      <c r="A28" t="str">
        <f t="shared" si="1"/>
        <v>Macahuitl en obsidienne (bâton à 1 main)</v>
      </c>
      <c r="B28" s="24" t="s">
        <v>2109</v>
      </c>
      <c r="C28" s="61" t="s">
        <v>531</v>
      </c>
      <c r="D28" s="58" t="s">
        <v>522</v>
      </c>
      <c r="E28" s="58" t="s">
        <v>522</v>
      </c>
      <c r="F28" s="58">
        <v>0</v>
      </c>
      <c r="G28" s="58">
        <v>2</v>
      </c>
      <c r="H28" s="58" t="s">
        <v>522</v>
      </c>
      <c r="I28" s="58" t="s">
        <v>522</v>
      </c>
      <c r="J28" s="58" t="str">
        <f>CONCATENATE('Perso Classic'!$C$50,"d",déForce,"+ 2d8")</f>
        <v>d0+ 2d8</v>
      </c>
      <c r="K28" s="58" t="str">
        <f>CONCATENATE('Perso Reloaded'!$C$14,"d",'Perso Reloaded'!$E$14)</f>
        <v>d</v>
      </c>
      <c r="L28" s="58" t="s">
        <v>522</v>
      </c>
      <c r="M28" s="58" t="s">
        <v>522</v>
      </c>
      <c r="N28" s="58">
        <v>0</v>
      </c>
      <c r="O28" s="58">
        <v>15</v>
      </c>
      <c r="P28" s="58" t="s">
        <v>522</v>
      </c>
      <c r="Q28" s="58">
        <v>21</v>
      </c>
      <c r="R28" s="58">
        <v>2.5</v>
      </c>
      <c r="S28" s="58">
        <v>0</v>
      </c>
      <c r="T28" s="58" t="s">
        <v>522</v>
      </c>
      <c r="U28" s="58" t="s">
        <v>3721</v>
      </c>
    </row>
    <row r="29" spans="1:21" x14ac:dyDescent="0.3">
      <c r="A29" t="str">
        <f t="shared" si="1"/>
        <v>Macahuitl (bâton à 2 mains)</v>
      </c>
      <c r="B29" s="24" t="s">
        <v>2108</v>
      </c>
      <c r="C29" s="61" t="s">
        <v>531</v>
      </c>
      <c r="D29" s="58" t="s">
        <v>522</v>
      </c>
      <c r="E29" s="58" t="s">
        <v>522</v>
      </c>
      <c r="F29" s="58">
        <v>0</v>
      </c>
      <c r="G29" s="58">
        <v>3</v>
      </c>
      <c r="H29" s="58" t="s">
        <v>522</v>
      </c>
      <c r="I29" s="58" t="s">
        <v>522</v>
      </c>
      <c r="J29" s="58" t="str">
        <f>CONCATENATE('Perso Classic'!$C$50,"d",déForce,"+ 1d8")</f>
        <v>d0+ 1d8</v>
      </c>
      <c r="K29" s="58" t="str">
        <f>CONCATENATE('Perso Reloaded'!$C$14,"d",'Perso Reloaded'!$E$14)</f>
        <v>d</v>
      </c>
      <c r="L29" s="58">
        <v>1</v>
      </c>
      <c r="M29" s="58" t="s">
        <v>522</v>
      </c>
      <c r="N29" s="58">
        <v>0</v>
      </c>
      <c r="O29" s="58">
        <v>10</v>
      </c>
      <c r="P29" s="58" t="s">
        <v>522</v>
      </c>
      <c r="Q29" s="58">
        <v>21</v>
      </c>
      <c r="R29" s="58">
        <v>2.5</v>
      </c>
      <c r="S29" s="58">
        <v>0</v>
      </c>
      <c r="T29" s="58" t="s">
        <v>522</v>
      </c>
      <c r="U29" s="58" t="s">
        <v>3721</v>
      </c>
    </row>
    <row r="30" spans="1:21" x14ac:dyDescent="0.3">
      <c r="A30" t="str">
        <f t="shared" si="1"/>
        <v>Macahuitl en obsidienne (bâton à 2 mains)</v>
      </c>
      <c r="B30" s="24" t="s">
        <v>3784</v>
      </c>
      <c r="C30" s="61" t="s">
        <v>531</v>
      </c>
      <c r="D30" s="58" t="s">
        <v>522</v>
      </c>
      <c r="E30" s="58" t="s">
        <v>522</v>
      </c>
      <c r="F30" s="58">
        <v>0</v>
      </c>
      <c r="G30" s="58">
        <v>3</v>
      </c>
      <c r="H30" s="58" t="s">
        <v>522</v>
      </c>
      <c r="I30" s="58" t="s">
        <v>522</v>
      </c>
      <c r="J30" s="58" t="str">
        <f>CONCATENATE('Perso Classic'!$C$50,"d",déForce,"+ 3d8")</f>
        <v>d0+ 3d8</v>
      </c>
      <c r="K30" s="58" t="str">
        <f>CONCATENATE('Perso Reloaded'!$C$14,"d",'Perso Reloaded'!$E$14)</f>
        <v>d</v>
      </c>
      <c r="L30" s="58" t="s">
        <v>522</v>
      </c>
      <c r="M30" s="58" t="s">
        <v>522</v>
      </c>
      <c r="N30" s="58">
        <v>0</v>
      </c>
      <c r="O30" s="58">
        <v>30</v>
      </c>
      <c r="P30" s="58" t="s">
        <v>522</v>
      </c>
      <c r="Q30" s="58">
        <v>21</v>
      </c>
      <c r="R30" s="58">
        <v>2.5</v>
      </c>
      <c r="S30" s="58">
        <v>0</v>
      </c>
      <c r="T30" s="58">
        <v>2</v>
      </c>
      <c r="U30" s="58" t="s">
        <v>3721</v>
      </c>
    </row>
    <row r="31" spans="1:21" x14ac:dyDescent="0.3">
      <c r="A31" t="str">
        <f t="shared" si="1"/>
        <v>Poing</v>
      </c>
      <c r="B31" s="24" t="s">
        <v>533</v>
      </c>
      <c r="C31" s="61" t="s">
        <v>531</v>
      </c>
      <c r="D31" s="58" t="s">
        <v>522</v>
      </c>
      <c r="E31" s="58" t="s">
        <v>522</v>
      </c>
      <c r="F31" s="58">
        <v>1</v>
      </c>
      <c r="G31" s="58">
        <v>0</v>
      </c>
      <c r="H31" s="58" t="s">
        <v>522</v>
      </c>
      <c r="I31" s="58" t="s">
        <v>522</v>
      </c>
      <c r="J31" s="58" t="str">
        <f>IF(Arts_Martiaux=TRUE,"1d6",CONCATENATE(IF('Perso Classic'!$C$50="",'Perso Reloaded'!$C$14,IF('Perso Reloaded'!$C$14="",'Perso Classic'!$C$50,"")),"d",IF(déForce="",'Perso Reloaded'!$E$14,IF('Perso Reloaded'!$E$14="",déForce,"")),""))</f>
        <v>d0</v>
      </c>
      <c r="K31" s="58" t="str">
        <f>CONCATENATE('Perso Reloaded'!$C$14,"d",'Perso Reloaded'!$E$14)</f>
        <v>d</v>
      </c>
      <c r="L31" s="58" t="s">
        <v>522</v>
      </c>
      <c r="M31" s="58" t="s">
        <v>522</v>
      </c>
      <c r="N31" s="58">
        <v>0</v>
      </c>
      <c r="O31" s="58">
        <v>0</v>
      </c>
      <c r="P31" s="58" t="s">
        <v>522</v>
      </c>
      <c r="Q31" s="58">
        <v>21</v>
      </c>
      <c r="R31" s="58">
        <v>0</v>
      </c>
      <c r="S31" s="58">
        <v>0</v>
      </c>
      <c r="T31" s="58" t="s">
        <v>522</v>
      </c>
      <c r="U31" s="58" t="s">
        <v>549</v>
      </c>
    </row>
    <row r="32" spans="1:21" x14ac:dyDescent="0.3">
      <c r="A32" t="str">
        <f t="shared" si="1"/>
        <v>Poing américain</v>
      </c>
      <c r="B32" s="24" t="s">
        <v>534</v>
      </c>
      <c r="C32" s="61" t="s">
        <v>531</v>
      </c>
      <c r="D32" s="58" t="s">
        <v>522</v>
      </c>
      <c r="E32" s="58" t="s">
        <v>522</v>
      </c>
      <c r="F32" s="58">
        <v>1</v>
      </c>
      <c r="G32" s="58">
        <v>0</v>
      </c>
      <c r="H32" s="58" t="s">
        <v>522</v>
      </c>
      <c r="I32" s="58" t="s">
        <v>522</v>
      </c>
      <c r="J32" s="58" t="str">
        <f>CONCATENATE('Perso Classic'!$C$50,"d",déForce,"+ 1d4")</f>
        <v>d0+ 1d4</v>
      </c>
      <c r="K32" s="58" t="str">
        <f>CONCATENATE('Perso Reloaded'!$C$14,"d",'Perso Reloaded'!$E$14)</f>
        <v>d</v>
      </c>
      <c r="L32" s="58" t="s">
        <v>522</v>
      </c>
      <c r="M32" s="58" t="s">
        <v>522</v>
      </c>
      <c r="N32" s="58">
        <v>0</v>
      </c>
      <c r="O32" s="58">
        <v>1</v>
      </c>
      <c r="P32" s="58" t="s">
        <v>522</v>
      </c>
      <c r="Q32" s="58">
        <v>21</v>
      </c>
      <c r="R32" s="58">
        <v>0.5</v>
      </c>
      <c r="S32" s="58">
        <v>0</v>
      </c>
      <c r="T32" s="58" t="s">
        <v>522</v>
      </c>
      <c r="U32" s="58" t="s">
        <v>549</v>
      </c>
    </row>
    <row r="33" spans="1:21" x14ac:dyDescent="0.3">
      <c r="A33" t="str">
        <f t="shared" si="1"/>
        <v>Rapière</v>
      </c>
      <c r="B33" s="24" t="s">
        <v>540</v>
      </c>
      <c r="C33" s="61" t="s">
        <v>531</v>
      </c>
      <c r="D33" s="58" t="s">
        <v>522</v>
      </c>
      <c r="E33" s="58" t="s">
        <v>522</v>
      </c>
      <c r="F33" s="58">
        <v>1</v>
      </c>
      <c r="G33" s="58">
        <v>2</v>
      </c>
      <c r="H33" s="58" t="s">
        <v>522</v>
      </c>
      <c r="I33" s="58" t="s">
        <v>522</v>
      </c>
      <c r="J33" s="58" t="str">
        <f>CONCATENATE('Perso Classic'!$C$50,"d",déForce,"+ 2d6")</f>
        <v>d0+ 2d6</v>
      </c>
      <c r="K33" s="58" t="str">
        <f>CONCATENATE('Perso Reloaded'!$C$14,"d",'Perso Reloaded'!$E$14)</f>
        <v>d</v>
      </c>
      <c r="L33" s="58" t="s">
        <v>522</v>
      </c>
      <c r="M33" s="58" t="s">
        <v>522</v>
      </c>
      <c r="N33" s="58">
        <v>0</v>
      </c>
      <c r="O33" s="58">
        <v>10</v>
      </c>
      <c r="P33" s="58" t="s">
        <v>522</v>
      </c>
      <c r="Q33" s="58">
        <v>21</v>
      </c>
      <c r="R33" s="58">
        <v>2</v>
      </c>
      <c r="S33" s="58">
        <v>0</v>
      </c>
      <c r="T33" s="58" t="s">
        <v>522</v>
      </c>
      <c r="U33" s="58" t="s">
        <v>549</v>
      </c>
    </row>
    <row r="34" spans="1:21" x14ac:dyDescent="0.3">
      <c r="A34" t="str">
        <f t="shared" si="1"/>
        <v>Sabre de cavalerie</v>
      </c>
      <c r="B34" s="24" t="s">
        <v>541</v>
      </c>
      <c r="C34" s="61" t="s">
        <v>531</v>
      </c>
      <c r="D34" s="58" t="s">
        <v>522</v>
      </c>
      <c r="E34" s="58" t="s">
        <v>522</v>
      </c>
      <c r="F34" s="58">
        <v>1</v>
      </c>
      <c r="G34" s="58">
        <v>2</v>
      </c>
      <c r="H34" s="58" t="s">
        <v>522</v>
      </c>
      <c r="I34" s="58" t="s">
        <v>522</v>
      </c>
      <c r="J34" s="58" t="str">
        <f>CONCATENATE('Perso Classic'!$C$50,"d",déForce,"+2d8")</f>
        <v>d0+2d8</v>
      </c>
      <c r="K34" s="58" t="str">
        <f>CONCATENATE('Perso Reloaded'!$C$14,"d",'Perso Reloaded'!$E$14)</f>
        <v>d</v>
      </c>
      <c r="L34" s="58" t="s">
        <v>522</v>
      </c>
      <c r="M34" s="58" t="s">
        <v>522</v>
      </c>
      <c r="N34" s="58">
        <v>0</v>
      </c>
      <c r="O34" s="58">
        <v>15</v>
      </c>
      <c r="P34" s="58" t="s">
        <v>522</v>
      </c>
      <c r="Q34" s="58">
        <v>21</v>
      </c>
      <c r="R34" s="58">
        <v>2</v>
      </c>
      <c r="S34" s="58">
        <v>0</v>
      </c>
      <c r="T34" s="58" t="s">
        <v>522</v>
      </c>
      <c r="U34" s="58" t="s">
        <v>549</v>
      </c>
    </row>
    <row r="35" spans="1:21" x14ac:dyDescent="0.3">
      <c r="A35" t="str">
        <f t="shared" ref="A35" si="2">IF(OR(AnnéeJeu&lt;N35,déForce&lt;S35),"",B35)</f>
        <v>Stylet/ Aiguille à cheveux</v>
      </c>
      <c r="B35" s="24" t="s">
        <v>4239</v>
      </c>
      <c r="C35" s="61" t="s">
        <v>531</v>
      </c>
      <c r="D35" s="58" t="s">
        <v>522</v>
      </c>
      <c r="E35" s="58" t="s">
        <v>522</v>
      </c>
      <c r="F35" s="58">
        <v>1</v>
      </c>
      <c r="G35" s="58">
        <v>1</v>
      </c>
      <c r="H35" s="58" t="s">
        <v>522</v>
      </c>
      <c r="I35" s="58" t="s">
        <v>522</v>
      </c>
      <c r="J35" s="58" t="str">
        <f>CONCATENATE('Perso Classic'!$C$50,"d",déForce,"+ 1d4-1")</f>
        <v>d0+ 1d4-1</v>
      </c>
      <c r="K35" s="58" t="str">
        <f>CONCATENATE('Perso Reloaded'!$C$14,"d",'Perso Reloaded'!$E$14)</f>
        <v>d</v>
      </c>
      <c r="L35" s="58" t="s">
        <v>522</v>
      </c>
      <c r="M35" s="58" t="s">
        <v>522</v>
      </c>
      <c r="N35" s="58">
        <v>0</v>
      </c>
      <c r="O35" s="58">
        <v>2</v>
      </c>
      <c r="P35" s="58" t="s">
        <v>522</v>
      </c>
      <c r="Q35" s="58">
        <v>21</v>
      </c>
      <c r="R35" s="58">
        <v>1</v>
      </c>
      <c r="S35" s="58">
        <v>0</v>
      </c>
      <c r="T35" s="58" t="s">
        <v>522</v>
      </c>
      <c r="U35" s="58" t="s">
        <v>549</v>
      </c>
    </row>
    <row r="36" spans="1:21" x14ac:dyDescent="0.3">
      <c r="A36" t="str">
        <f t="shared" si="1"/>
        <v>Tomahawk (tête de fer)</v>
      </c>
      <c r="B36" s="24" t="s">
        <v>2469</v>
      </c>
      <c r="C36" s="61" t="s">
        <v>531</v>
      </c>
      <c r="D36" s="58" t="s">
        <v>522</v>
      </c>
      <c r="E36" s="58" t="s">
        <v>522</v>
      </c>
      <c r="F36" s="58">
        <v>1</v>
      </c>
      <c r="G36" s="58">
        <v>0</v>
      </c>
      <c r="H36" s="58" t="s">
        <v>522</v>
      </c>
      <c r="I36" s="58" t="s">
        <v>522</v>
      </c>
      <c r="J36" s="58" t="str">
        <f>CONCATENATE('Perso Classic'!$C$50,"d",déForce,"+ 2d6")</f>
        <v>d0+ 2d6</v>
      </c>
      <c r="K36" s="58" t="str">
        <f>CONCATENATE('Perso Reloaded'!$C$14,"d",'Perso Reloaded'!$E$14)</f>
        <v>d</v>
      </c>
      <c r="L36" s="58" t="s">
        <v>522</v>
      </c>
      <c r="M36" s="58" t="s">
        <v>522</v>
      </c>
      <c r="N36" s="58">
        <v>0</v>
      </c>
      <c r="O36" s="58">
        <v>3</v>
      </c>
      <c r="P36" s="58" t="s">
        <v>522</v>
      </c>
      <c r="Q36" s="58">
        <v>21</v>
      </c>
      <c r="R36" s="58">
        <v>2</v>
      </c>
      <c r="S36" s="58">
        <v>0</v>
      </c>
      <c r="T36" s="58" t="s">
        <v>522</v>
      </c>
      <c r="U36" s="58" t="s">
        <v>549</v>
      </c>
    </row>
    <row r="37" spans="1:21" x14ac:dyDescent="0.3">
      <c r="A37" t="str">
        <f t="shared" si="1"/>
        <v>Tomahawk (tête de pierre)</v>
      </c>
      <c r="B37" s="24" t="s">
        <v>2470</v>
      </c>
      <c r="C37" s="61" t="s">
        <v>531</v>
      </c>
      <c r="D37" s="58" t="s">
        <v>522</v>
      </c>
      <c r="E37" s="58" t="s">
        <v>522</v>
      </c>
      <c r="F37" s="58">
        <v>1</v>
      </c>
      <c r="G37" s="58">
        <v>0</v>
      </c>
      <c r="H37" s="58" t="s">
        <v>522</v>
      </c>
      <c r="I37" s="58" t="s">
        <v>522</v>
      </c>
      <c r="J37" s="58" t="str">
        <f>CONCATENATE('Perso Classic'!$C$50,"d",déForce,"+2d8")</f>
        <v>d0+2d8</v>
      </c>
      <c r="K37" s="58" t="str">
        <f>CONCATENATE('Perso Reloaded'!$C$14,"d",'Perso Reloaded'!$E$14)</f>
        <v>d</v>
      </c>
      <c r="L37" s="58" t="s">
        <v>522</v>
      </c>
      <c r="M37" s="58" t="s">
        <v>522</v>
      </c>
      <c r="N37" s="58">
        <v>0</v>
      </c>
      <c r="O37" s="58">
        <v>2</v>
      </c>
      <c r="P37" s="58" t="s">
        <v>522</v>
      </c>
      <c r="Q37" s="58">
        <v>21</v>
      </c>
      <c r="R37" s="58">
        <v>2</v>
      </c>
      <c r="S37" s="58">
        <v>0</v>
      </c>
      <c r="T37" s="58" t="s">
        <v>522</v>
      </c>
      <c r="U37" s="58" t="s">
        <v>549</v>
      </c>
    </row>
    <row r="38" spans="1:21" x14ac:dyDescent="0.3">
      <c r="A38" t="str">
        <f t="shared" si="1"/>
        <v/>
      </c>
      <c r="B38" s="24" t="s">
        <v>459</v>
      </c>
      <c r="C38" s="61" t="s">
        <v>458</v>
      </c>
      <c r="D38" s="58" t="s">
        <v>418</v>
      </c>
      <c r="E38" s="58">
        <v>2</v>
      </c>
      <c r="F38" s="58">
        <v>1</v>
      </c>
      <c r="G38" s="58">
        <v>1</v>
      </c>
      <c r="H38" s="58">
        <v>5</v>
      </c>
      <c r="I38" s="252" t="s">
        <v>3699</v>
      </c>
      <c r="J38" s="58" t="s">
        <v>386</v>
      </c>
      <c r="K38" s="58" t="s">
        <v>386</v>
      </c>
      <c r="L38" s="58">
        <v>1</v>
      </c>
      <c r="M38" s="58">
        <v>1</v>
      </c>
      <c r="N38" s="58">
        <v>1870</v>
      </c>
      <c r="O38" s="58">
        <v>8</v>
      </c>
      <c r="P38" s="58" t="s">
        <v>522</v>
      </c>
      <c r="Q38" s="58">
        <v>21</v>
      </c>
      <c r="R38" s="58">
        <v>0.25</v>
      </c>
      <c r="S38" s="58">
        <v>0</v>
      </c>
      <c r="T38" s="58">
        <v>1</v>
      </c>
      <c r="U38" s="58" t="s">
        <v>466</v>
      </c>
    </row>
    <row r="39" spans="1:21" x14ac:dyDescent="0.3">
      <c r="A39" t="str">
        <f t="shared" si="1"/>
        <v/>
      </c>
      <c r="B39" s="24" t="s">
        <v>460</v>
      </c>
      <c r="C39" s="61" t="s">
        <v>458</v>
      </c>
      <c r="D39" s="58" t="s">
        <v>409</v>
      </c>
      <c r="E39" s="58">
        <v>2</v>
      </c>
      <c r="F39" s="58">
        <v>1</v>
      </c>
      <c r="G39" s="58">
        <v>1</v>
      </c>
      <c r="H39" s="58">
        <v>5</v>
      </c>
      <c r="I39" s="252" t="s">
        <v>3699</v>
      </c>
      <c r="J39" s="252" t="s">
        <v>3761</v>
      </c>
      <c r="K39" s="58" t="s">
        <v>3700</v>
      </c>
      <c r="L39" s="58">
        <v>1</v>
      </c>
      <c r="M39" s="58">
        <v>1</v>
      </c>
      <c r="N39" s="58">
        <v>1850</v>
      </c>
      <c r="O39" s="58">
        <v>8</v>
      </c>
      <c r="P39" s="58" t="s">
        <v>522</v>
      </c>
      <c r="Q39" s="58">
        <v>21</v>
      </c>
      <c r="R39" s="58">
        <v>0.25</v>
      </c>
      <c r="S39" s="58">
        <v>0</v>
      </c>
      <c r="T39" s="58">
        <v>1</v>
      </c>
      <c r="U39" s="58" t="s">
        <v>467</v>
      </c>
    </row>
    <row r="40" spans="1:21" x14ac:dyDescent="0.3">
      <c r="A40" t="str">
        <f t="shared" si="1"/>
        <v/>
      </c>
      <c r="B40" s="24" t="s">
        <v>1997</v>
      </c>
      <c r="C40" s="61" t="s">
        <v>458</v>
      </c>
      <c r="D40" s="58" t="s">
        <v>1998</v>
      </c>
      <c r="E40" s="58">
        <v>6</v>
      </c>
      <c r="F40" s="58">
        <v>1</v>
      </c>
      <c r="G40" s="58">
        <v>1</v>
      </c>
      <c r="H40" s="58">
        <v>2</v>
      </c>
      <c r="I40" s="252" t="s">
        <v>3699</v>
      </c>
      <c r="J40" s="252" t="s">
        <v>386</v>
      </c>
      <c r="K40" s="58" t="s">
        <v>386</v>
      </c>
      <c r="L40" s="58">
        <v>1</v>
      </c>
      <c r="M40" s="58">
        <v>1</v>
      </c>
      <c r="N40" s="58">
        <v>1860</v>
      </c>
      <c r="O40" s="58">
        <v>9</v>
      </c>
      <c r="P40" s="58" t="s">
        <v>522</v>
      </c>
      <c r="Q40" s="58">
        <v>21</v>
      </c>
      <c r="R40" s="58">
        <v>0.25</v>
      </c>
      <c r="S40" s="58">
        <v>0</v>
      </c>
      <c r="T40" s="58">
        <v>1</v>
      </c>
      <c r="U40" s="58" t="s">
        <v>467</v>
      </c>
    </row>
    <row r="41" spans="1:21" x14ac:dyDescent="0.3">
      <c r="A41" t="str">
        <f t="shared" ref="A41:A82" si="3">IF(OR(AnnéeJeu&lt;N41,déForce&lt;S41),"",B41)</f>
        <v/>
      </c>
      <c r="B41" s="24" t="s">
        <v>461</v>
      </c>
      <c r="C41" s="61" t="s">
        <v>458</v>
      </c>
      <c r="D41" s="58" t="s">
        <v>418</v>
      </c>
      <c r="E41" s="58">
        <v>2</v>
      </c>
      <c r="F41" s="58">
        <v>1</v>
      </c>
      <c r="G41" s="58">
        <v>1</v>
      </c>
      <c r="H41" s="58">
        <v>5</v>
      </c>
      <c r="I41" s="252" t="s">
        <v>3699</v>
      </c>
      <c r="J41" s="252" t="s">
        <v>386</v>
      </c>
      <c r="K41" s="58" t="s">
        <v>386</v>
      </c>
      <c r="L41" s="58">
        <v>1</v>
      </c>
      <c r="M41" s="58">
        <v>1</v>
      </c>
      <c r="N41" s="58">
        <v>1865</v>
      </c>
      <c r="O41" s="58">
        <v>10</v>
      </c>
      <c r="P41" s="58" t="s">
        <v>522</v>
      </c>
      <c r="Q41" s="58">
        <v>21</v>
      </c>
      <c r="R41" s="58">
        <v>0.25</v>
      </c>
      <c r="S41" s="58">
        <v>0</v>
      </c>
      <c r="T41" s="58">
        <v>1</v>
      </c>
      <c r="U41" s="58" t="s">
        <v>466</v>
      </c>
    </row>
    <row r="42" spans="1:21" x14ac:dyDescent="0.3">
      <c r="A42" t="str">
        <f t="shared" si="3"/>
        <v/>
      </c>
      <c r="B42" s="24" t="s">
        <v>462</v>
      </c>
      <c r="C42" s="61" t="s">
        <v>458</v>
      </c>
      <c r="D42" s="58" t="s">
        <v>443</v>
      </c>
      <c r="E42" s="58">
        <v>4</v>
      </c>
      <c r="F42" s="58">
        <v>1</v>
      </c>
      <c r="G42" s="58">
        <v>1</v>
      </c>
      <c r="H42" s="58">
        <v>5</v>
      </c>
      <c r="I42" s="252" t="s">
        <v>3699</v>
      </c>
      <c r="J42" s="252" t="s">
        <v>386</v>
      </c>
      <c r="K42" s="58" t="s">
        <v>386</v>
      </c>
      <c r="L42" s="58">
        <v>1</v>
      </c>
      <c r="M42" s="58">
        <v>1</v>
      </c>
      <c r="N42" s="58">
        <v>1863</v>
      </c>
      <c r="O42" s="58">
        <v>11</v>
      </c>
      <c r="P42" s="58" t="s">
        <v>522</v>
      </c>
      <c r="Q42" s="58">
        <v>21</v>
      </c>
      <c r="R42" s="58">
        <v>0.25</v>
      </c>
      <c r="S42" s="58">
        <v>0</v>
      </c>
      <c r="T42" s="58">
        <v>1</v>
      </c>
      <c r="U42" s="58" t="s">
        <v>467</v>
      </c>
    </row>
    <row r="43" spans="1:21" x14ac:dyDescent="0.3">
      <c r="A43" t="str">
        <f t="shared" si="3"/>
        <v/>
      </c>
      <c r="B43" s="24" t="s">
        <v>464</v>
      </c>
      <c r="C43" s="61" t="s">
        <v>458</v>
      </c>
      <c r="D43" s="58" t="s">
        <v>410</v>
      </c>
      <c r="E43" s="58">
        <v>4</v>
      </c>
      <c r="F43" s="58">
        <v>1</v>
      </c>
      <c r="G43" s="58">
        <v>1</v>
      </c>
      <c r="H43" s="58">
        <v>5</v>
      </c>
      <c r="I43" s="252" t="s">
        <v>3699</v>
      </c>
      <c r="J43" s="252" t="s">
        <v>386</v>
      </c>
      <c r="K43" s="58" t="s">
        <v>386</v>
      </c>
      <c r="L43" s="58">
        <v>1</v>
      </c>
      <c r="M43" s="58">
        <v>1</v>
      </c>
      <c r="N43" s="58">
        <v>1859</v>
      </c>
      <c r="O43" s="58">
        <v>10</v>
      </c>
      <c r="P43" s="58" t="s">
        <v>522</v>
      </c>
      <c r="Q43" s="58">
        <v>21</v>
      </c>
      <c r="R43" s="58">
        <v>0.25</v>
      </c>
      <c r="S43" s="58">
        <v>0</v>
      </c>
      <c r="T43" s="58">
        <v>1</v>
      </c>
      <c r="U43" s="58" t="s">
        <v>467</v>
      </c>
    </row>
    <row r="44" spans="1:21" x14ac:dyDescent="0.3">
      <c r="A44" t="str">
        <f t="shared" si="3"/>
        <v/>
      </c>
      <c r="B44" s="24" t="s">
        <v>4238</v>
      </c>
      <c r="C44" s="61" t="s">
        <v>458</v>
      </c>
      <c r="D44" s="58" t="s">
        <v>391</v>
      </c>
      <c r="E44" s="58">
        <v>1</v>
      </c>
      <c r="F44" s="58">
        <v>1</v>
      </c>
      <c r="G44" s="58">
        <v>1</v>
      </c>
      <c r="H44" s="58">
        <v>5</v>
      </c>
      <c r="I44" s="252" t="s">
        <v>3699</v>
      </c>
      <c r="J44" s="252" t="s">
        <v>386</v>
      </c>
      <c r="K44" s="58" t="s">
        <v>386</v>
      </c>
      <c r="L44" s="58">
        <v>1</v>
      </c>
      <c r="M44" s="58">
        <v>1</v>
      </c>
      <c r="N44" s="58">
        <v>1870</v>
      </c>
      <c r="O44" s="58">
        <v>15</v>
      </c>
      <c r="P44" s="58" t="s">
        <v>522</v>
      </c>
      <c r="Q44" s="58">
        <v>21</v>
      </c>
      <c r="R44" s="58">
        <v>0.25</v>
      </c>
      <c r="S44" s="58">
        <v>0</v>
      </c>
      <c r="T44" s="58">
        <v>1</v>
      </c>
      <c r="U44" s="58" t="s">
        <v>466</v>
      </c>
    </row>
    <row r="45" spans="1:21" x14ac:dyDescent="0.3">
      <c r="A45" t="str">
        <f t="shared" si="3"/>
        <v/>
      </c>
      <c r="B45" s="24" t="s">
        <v>463</v>
      </c>
      <c r="C45" s="61" t="s">
        <v>458</v>
      </c>
      <c r="D45" s="58" t="s">
        <v>465</v>
      </c>
      <c r="E45" s="58">
        <v>18</v>
      </c>
      <c r="F45" s="58">
        <v>1</v>
      </c>
      <c r="G45" s="58">
        <v>1</v>
      </c>
      <c r="H45" s="58">
        <v>5</v>
      </c>
      <c r="I45" s="252" t="s">
        <v>3699</v>
      </c>
      <c r="J45" s="252" t="s">
        <v>3761</v>
      </c>
      <c r="K45" s="58" t="s">
        <v>3700</v>
      </c>
      <c r="L45" s="58">
        <v>-1</v>
      </c>
      <c r="M45" s="58">
        <v>3</v>
      </c>
      <c r="N45" s="58">
        <v>1858</v>
      </c>
      <c r="O45" s="58">
        <v>12</v>
      </c>
      <c r="P45" s="58" t="s">
        <v>522</v>
      </c>
      <c r="Q45" s="58">
        <v>21</v>
      </c>
      <c r="R45" s="58">
        <v>0.5</v>
      </c>
      <c r="S45" s="58">
        <v>0</v>
      </c>
      <c r="T45" s="58">
        <v>1</v>
      </c>
      <c r="U45" s="58" t="s">
        <v>504</v>
      </c>
    </row>
    <row r="46" spans="1:21" x14ac:dyDescent="0.3">
      <c r="A46" t="str">
        <f t="shared" si="3"/>
        <v/>
      </c>
      <c r="B46" s="24" t="s">
        <v>4614</v>
      </c>
      <c r="C46" s="61" t="s">
        <v>458</v>
      </c>
      <c r="D46" s="58" t="s">
        <v>385</v>
      </c>
      <c r="E46" s="58">
        <v>8</v>
      </c>
      <c r="F46" s="58">
        <v>1</v>
      </c>
      <c r="G46" s="58">
        <v>1</v>
      </c>
      <c r="H46" s="58">
        <v>5</v>
      </c>
      <c r="I46" s="252" t="s">
        <v>3699</v>
      </c>
      <c r="J46" s="252" t="s">
        <v>386</v>
      </c>
      <c r="K46" s="58" t="s">
        <v>386</v>
      </c>
      <c r="L46" s="58">
        <v>1</v>
      </c>
      <c r="M46" s="58">
        <v>1</v>
      </c>
      <c r="N46" s="58">
        <v>1840</v>
      </c>
      <c r="O46" s="58">
        <v>5</v>
      </c>
      <c r="P46" s="58" t="s">
        <v>522</v>
      </c>
      <c r="Q46" s="58">
        <v>21</v>
      </c>
      <c r="R46" s="58">
        <v>0.5</v>
      </c>
      <c r="S46" s="58">
        <v>0</v>
      </c>
      <c r="T46" s="58">
        <v>1</v>
      </c>
      <c r="U46" s="58" t="s">
        <v>3696</v>
      </c>
    </row>
    <row r="47" spans="1:21" x14ac:dyDescent="0.3">
      <c r="A47" t="str">
        <f t="shared" si="3"/>
        <v/>
      </c>
      <c r="B47" s="24" t="s">
        <v>468</v>
      </c>
      <c r="C47" s="61" t="s">
        <v>458</v>
      </c>
      <c r="D47" s="58" t="s">
        <v>394</v>
      </c>
      <c r="E47" s="58">
        <v>5</v>
      </c>
      <c r="F47" s="58">
        <v>1</v>
      </c>
      <c r="G47" s="58">
        <v>1</v>
      </c>
      <c r="H47" s="58">
        <v>5</v>
      </c>
      <c r="I47" s="252" t="s">
        <v>3699</v>
      </c>
      <c r="J47" s="252" t="s">
        <v>386</v>
      </c>
      <c r="K47" s="58" t="s">
        <v>386</v>
      </c>
      <c r="L47" s="58">
        <v>1</v>
      </c>
      <c r="M47" s="58">
        <v>1</v>
      </c>
      <c r="N47" s="58">
        <v>1849</v>
      </c>
      <c r="O47" s="58">
        <v>9</v>
      </c>
      <c r="P47" s="58" t="s">
        <v>522</v>
      </c>
      <c r="Q47" s="58">
        <v>21</v>
      </c>
      <c r="R47" s="58">
        <v>0.5</v>
      </c>
      <c r="S47" s="58">
        <v>0</v>
      </c>
      <c r="T47" s="58">
        <v>1</v>
      </c>
      <c r="U47" s="58" t="s">
        <v>504</v>
      </c>
    </row>
    <row r="48" spans="1:21" x14ac:dyDescent="0.3">
      <c r="A48" t="str">
        <f t="shared" si="3"/>
        <v/>
      </c>
      <c r="B48" s="24" t="s">
        <v>469</v>
      </c>
      <c r="C48" s="61" t="s">
        <v>458</v>
      </c>
      <c r="D48" s="58" t="s">
        <v>391</v>
      </c>
      <c r="E48" s="58">
        <v>8</v>
      </c>
      <c r="F48" s="58">
        <v>1</v>
      </c>
      <c r="G48" s="58">
        <v>1</v>
      </c>
      <c r="H48" s="58">
        <v>5</v>
      </c>
      <c r="I48" s="252" t="s">
        <v>3699</v>
      </c>
      <c r="J48" s="252" t="s">
        <v>386</v>
      </c>
      <c r="K48" s="58" t="s">
        <v>386</v>
      </c>
      <c r="L48" s="58">
        <v>1</v>
      </c>
      <c r="M48" s="58">
        <v>1</v>
      </c>
      <c r="N48" s="58">
        <v>1860</v>
      </c>
      <c r="O48" s="58">
        <v>6</v>
      </c>
      <c r="P48" s="58" t="s">
        <v>522</v>
      </c>
      <c r="Q48" s="58">
        <v>21</v>
      </c>
      <c r="R48" s="58">
        <v>0.5</v>
      </c>
      <c r="S48" s="58">
        <v>0</v>
      </c>
      <c r="T48" s="58" t="s">
        <v>522</v>
      </c>
      <c r="U48" s="58" t="s">
        <v>466</v>
      </c>
    </row>
    <row r="49" spans="1:21" x14ac:dyDescent="0.3">
      <c r="A49" t="str">
        <f t="shared" si="3"/>
        <v/>
      </c>
      <c r="B49" s="24" t="s">
        <v>471</v>
      </c>
      <c r="C49" s="61" t="s">
        <v>458</v>
      </c>
      <c r="D49" s="58" t="s">
        <v>443</v>
      </c>
      <c r="E49" s="58">
        <v>7</v>
      </c>
      <c r="F49" s="58">
        <v>1</v>
      </c>
      <c r="G49" s="58">
        <v>1</v>
      </c>
      <c r="H49" s="58">
        <v>5</v>
      </c>
      <c r="I49" s="252" t="s">
        <v>3699</v>
      </c>
      <c r="J49" s="252" t="s">
        <v>387</v>
      </c>
      <c r="K49" s="58" t="s">
        <v>386</v>
      </c>
      <c r="L49" s="58">
        <v>1</v>
      </c>
      <c r="M49" s="58">
        <v>1</v>
      </c>
      <c r="N49" s="58">
        <v>1863</v>
      </c>
      <c r="O49" s="58">
        <v>9</v>
      </c>
      <c r="P49" s="58" t="s">
        <v>522</v>
      </c>
      <c r="Q49" s="58">
        <v>21</v>
      </c>
      <c r="R49" s="58">
        <v>0.5</v>
      </c>
      <c r="S49" s="58">
        <v>0</v>
      </c>
      <c r="T49" s="58" t="s">
        <v>522</v>
      </c>
      <c r="U49" s="58" t="s">
        <v>467</v>
      </c>
    </row>
    <row r="50" spans="1:21" x14ac:dyDescent="0.3">
      <c r="A50" t="str">
        <f t="shared" si="3"/>
        <v/>
      </c>
      <c r="B50" s="24" t="s">
        <v>470</v>
      </c>
      <c r="C50" s="61" t="s">
        <v>458</v>
      </c>
      <c r="D50" s="58" t="s">
        <v>391</v>
      </c>
      <c r="E50" s="58">
        <v>4</v>
      </c>
      <c r="F50" s="58">
        <v>1</v>
      </c>
      <c r="G50" s="58">
        <v>1</v>
      </c>
      <c r="H50" s="58">
        <v>5</v>
      </c>
      <c r="I50" s="252" t="s">
        <v>3699</v>
      </c>
      <c r="J50" s="252" t="s">
        <v>386</v>
      </c>
      <c r="K50" s="58" t="s">
        <v>386</v>
      </c>
      <c r="L50" s="58">
        <v>1</v>
      </c>
      <c r="M50" s="58">
        <v>1</v>
      </c>
      <c r="N50" s="58">
        <v>1870</v>
      </c>
      <c r="O50" s="58">
        <v>8</v>
      </c>
      <c r="P50" s="58" t="s">
        <v>522</v>
      </c>
      <c r="Q50" s="58">
        <v>21</v>
      </c>
      <c r="R50" s="58">
        <v>0.5</v>
      </c>
      <c r="S50" s="58">
        <v>0</v>
      </c>
      <c r="T50" s="58" t="s">
        <v>522</v>
      </c>
      <c r="U50" s="58" t="s">
        <v>467</v>
      </c>
    </row>
    <row r="51" spans="1:21" x14ac:dyDescent="0.3">
      <c r="A51" t="str">
        <f t="shared" si="3"/>
        <v/>
      </c>
      <c r="B51" s="24" t="s">
        <v>472</v>
      </c>
      <c r="C51" s="61" t="s">
        <v>458</v>
      </c>
      <c r="D51" s="58" t="s">
        <v>443</v>
      </c>
      <c r="E51" s="58">
        <v>3</v>
      </c>
      <c r="F51" s="58">
        <v>1</v>
      </c>
      <c r="G51" s="58">
        <v>1</v>
      </c>
      <c r="H51" s="58">
        <v>10</v>
      </c>
      <c r="I51" s="252" t="s">
        <v>3699</v>
      </c>
      <c r="J51" s="252" t="s">
        <v>386</v>
      </c>
      <c r="K51" s="58" t="s">
        <v>386</v>
      </c>
      <c r="L51" s="58">
        <v>1</v>
      </c>
      <c r="M51" s="58">
        <v>1</v>
      </c>
      <c r="N51" s="58">
        <v>1864</v>
      </c>
      <c r="O51" s="58">
        <v>8</v>
      </c>
      <c r="P51" s="58" t="s">
        <v>522</v>
      </c>
      <c r="Q51" s="58">
        <v>21</v>
      </c>
      <c r="R51" s="58">
        <v>0.5</v>
      </c>
      <c r="S51" s="58">
        <v>0</v>
      </c>
      <c r="T51" s="58" t="s">
        <v>522</v>
      </c>
      <c r="U51" s="58" t="s">
        <v>467</v>
      </c>
    </row>
    <row r="52" spans="1:21" x14ac:dyDescent="0.3">
      <c r="A52" t="str">
        <f t="shared" si="3"/>
        <v/>
      </c>
      <c r="B52" s="24" t="s">
        <v>473</v>
      </c>
      <c r="C52" s="61" t="s">
        <v>458</v>
      </c>
      <c r="D52" s="58" t="s">
        <v>418</v>
      </c>
      <c r="E52" s="58">
        <v>2</v>
      </c>
      <c r="F52" s="58">
        <v>1</v>
      </c>
      <c r="G52" s="58">
        <v>1</v>
      </c>
      <c r="H52" s="58">
        <v>5</v>
      </c>
      <c r="I52" s="252" t="s">
        <v>3699</v>
      </c>
      <c r="J52" s="252" t="s">
        <v>386</v>
      </c>
      <c r="K52" s="58" t="s">
        <v>386</v>
      </c>
      <c r="L52" s="58">
        <v>1</v>
      </c>
      <c r="M52" s="58">
        <v>1</v>
      </c>
      <c r="N52" s="58">
        <v>1868</v>
      </c>
      <c r="O52" s="58">
        <v>6</v>
      </c>
      <c r="P52" s="58" t="s">
        <v>522</v>
      </c>
      <c r="Q52" s="58">
        <v>21</v>
      </c>
      <c r="R52" s="58">
        <v>0.5</v>
      </c>
      <c r="S52" s="58">
        <v>0</v>
      </c>
      <c r="T52" s="58">
        <v>1</v>
      </c>
      <c r="U52" s="58" t="s">
        <v>522</v>
      </c>
    </row>
    <row r="53" spans="1:21" x14ac:dyDescent="0.3">
      <c r="A53" t="str">
        <f t="shared" si="3"/>
        <v/>
      </c>
      <c r="B53" s="24" t="s">
        <v>4616</v>
      </c>
      <c r="C53" s="61" t="s">
        <v>458</v>
      </c>
      <c r="D53" s="58" t="s">
        <v>418</v>
      </c>
      <c r="E53" s="58">
        <v>2</v>
      </c>
      <c r="F53" s="58">
        <v>1</v>
      </c>
      <c r="G53" s="58">
        <v>1</v>
      </c>
      <c r="H53" s="58">
        <v>5</v>
      </c>
      <c r="I53" s="252" t="s">
        <v>3699</v>
      </c>
      <c r="J53" s="252" t="s">
        <v>386</v>
      </c>
      <c r="K53" s="58" t="s">
        <v>386</v>
      </c>
      <c r="L53" s="58">
        <v>1</v>
      </c>
      <c r="M53" s="58">
        <v>1</v>
      </c>
      <c r="N53" s="58">
        <v>1868</v>
      </c>
      <c r="O53" s="58">
        <v>10</v>
      </c>
      <c r="P53" s="58" t="s">
        <v>522</v>
      </c>
      <c r="Q53" s="58">
        <v>21</v>
      </c>
      <c r="R53" s="58">
        <v>0.5</v>
      </c>
      <c r="S53" s="58">
        <v>0</v>
      </c>
      <c r="T53" s="58">
        <v>1</v>
      </c>
      <c r="U53" s="58" t="s">
        <v>522</v>
      </c>
    </row>
    <row r="54" spans="1:21" x14ac:dyDescent="0.3">
      <c r="A54" t="str">
        <f t="shared" si="3"/>
        <v/>
      </c>
      <c r="B54" s="24" t="s">
        <v>474</v>
      </c>
      <c r="C54" s="61" t="s">
        <v>458</v>
      </c>
      <c r="D54" s="58" t="s">
        <v>443</v>
      </c>
      <c r="E54" s="58">
        <v>5</v>
      </c>
      <c r="F54" s="58">
        <v>1</v>
      </c>
      <c r="G54" s="58">
        <v>1</v>
      </c>
      <c r="H54" s="58">
        <v>5</v>
      </c>
      <c r="I54" s="252" t="s">
        <v>3699</v>
      </c>
      <c r="J54" s="252" t="s">
        <v>386</v>
      </c>
      <c r="K54" s="58" t="s">
        <v>386</v>
      </c>
      <c r="L54" s="58">
        <v>1</v>
      </c>
      <c r="M54" s="58">
        <v>1</v>
      </c>
      <c r="N54" s="58">
        <v>1871</v>
      </c>
      <c r="O54" s="58">
        <v>10</v>
      </c>
      <c r="P54" s="58" t="s">
        <v>522</v>
      </c>
      <c r="Q54" s="58">
        <v>21</v>
      </c>
      <c r="R54" s="58">
        <v>0.5</v>
      </c>
      <c r="S54" s="58">
        <v>0</v>
      </c>
      <c r="T54" s="58">
        <v>1</v>
      </c>
      <c r="U54" s="58" t="s">
        <v>466</v>
      </c>
    </row>
    <row r="55" spans="1:21" x14ac:dyDescent="0.3">
      <c r="A55" t="str">
        <f t="shared" si="3"/>
        <v/>
      </c>
      <c r="B55" s="24" t="s">
        <v>4617</v>
      </c>
      <c r="C55" s="61" t="s">
        <v>458</v>
      </c>
      <c r="D55" s="58" t="s">
        <v>410</v>
      </c>
      <c r="E55" s="58">
        <v>4</v>
      </c>
      <c r="F55" s="58">
        <v>1</v>
      </c>
      <c r="G55" s="58">
        <v>1</v>
      </c>
      <c r="H55" s="58">
        <v>5</v>
      </c>
      <c r="I55" s="252" t="s">
        <v>3699</v>
      </c>
      <c r="J55" s="252" t="s">
        <v>386</v>
      </c>
      <c r="K55" s="58" t="s">
        <v>386</v>
      </c>
      <c r="L55" s="58">
        <v>1</v>
      </c>
      <c r="M55" s="58">
        <v>1</v>
      </c>
      <c r="N55" s="58">
        <v>1859</v>
      </c>
      <c r="O55" s="58">
        <v>10</v>
      </c>
      <c r="P55" s="58" t="s">
        <v>522</v>
      </c>
      <c r="Q55" s="58">
        <v>21</v>
      </c>
      <c r="R55" s="58">
        <v>0.5</v>
      </c>
      <c r="S55" s="58">
        <v>0</v>
      </c>
      <c r="T55" s="58">
        <v>1</v>
      </c>
      <c r="U55" s="58" t="s">
        <v>522</v>
      </c>
    </row>
    <row r="56" spans="1:21" x14ac:dyDescent="0.3">
      <c r="A56" t="str">
        <f t="shared" si="3"/>
        <v/>
      </c>
      <c r="B56" s="24" t="s">
        <v>4615</v>
      </c>
      <c r="C56" s="61" t="s">
        <v>458</v>
      </c>
      <c r="D56" s="58" t="s">
        <v>418</v>
      </c>
      <c r="E56" s="58">
        <v>1</v>
      </c>
      <c r="F56" s="58">
        <v>1</v>
      </c>
      <c r="G56" s="58">
        <v>1</v>
      </c>
      <c r="H56" s="58">
        <v>5</v>
      </c>
      <c r="I56" s="252" t="s">
        <v>3699</v>
      </c>
      <c r="J56" s="252" t="s">
        <v>386</v>
      </c>
      <c r="K56" s="58" t="s">
        <v>386</v>
      </c>
      <c r="L56" s="58">
        <v>1</v>
      </c>
      <c r="M56" s="58">
        <v>1</v>
      </c>
      <c r="N56" s="58">
        <v>1866</v>
      </c>
      <c r="O56" s="58">
        <v>7</v>
      </c>
      <c r="P56" s="58" t="s">
        <v>522</v>
      </c>
      <c r="Q56" s="58">
        <v>21</v>
      </c>
      <c r="R56" s="58">
        <v>0.5</v>
      </c>
      <c r="S56" s="58">
        <v>0</v>
      </c>
      <c r="T56" s="58">
        <v>1</v>
      </c>
      <c r="U56" s="58" t="s">
        <v>466</v>
      </c>
    </row>
    <row r="57" spans="1:21" x14ac:dyDescent="0.3">
      <c r="A57" t="str">
        <f t="shared" si="3"/>
        <v/>
      </c>
      <c r="B57" s="24" t="s">
        <v>1359</v>
      </c>
      <c r="C57" s="61" t="s">
        <v>1358</v>
      </c>
      <c r="D57" s="58" t="s">
        <v>522</v>
      </c>
      <c r="E57" s="58">
        <v>150</v>
      </c>
      <c r="F57" s="58" t="s">
        <v>522</v>
      </c>
      <c r="G57" s="58">
        <v>3</v>
      </c>
      <c r="H57" s="58">
        <v>20</v>
      </c>
      <c r="I57" s="252" t="s">
        <v>3688</v>
      </c>
      <c r="J57" s="252" t="s">
        <v>386</v>
      </c>
      <c r="K57" s="58" t="s">
        <v>3724</v>
      </c>
      <c r="L57" s="58">
        <v>-1</v>
      </c>
      <c r="M57" s="58">
        <v>6</v>
      </c>
      <c r="N57" s="58">
        <v>1864</v>
      </c>
      <c r="O57" s="58">
        <v>7000</v>
      </c>
      <c r="P57" s="58" t="s">
        <v>522</v>
      </c>
      <c r="Q57" s="58">
        <v>15</v>
      </c>
      <c r="R57" s="58">
        <v>5</v>
      </c>
      <c r="S57" s="58">
        <v>0</v>
      </c>
      <c r="T57" s="58" t="s">
        <v>522</v>
      </c>
      <c r="U57" s="58" t="s">
        <v>522</v>
      </c>
    </row>
    <row r="58" spans="1:21" x14ac:dyDescent="0.3">
      <c r="A58" t="str">
        <f t="shared" si="3"/>
        <v/>
      </c>
      <c r="B58" s="24" t="s">
        <v>1360</v>
      </c>
      <c r="C58" s="61" t="s">
        <v>1358</v>
      </c>
      <c r="D58" s="58" t="s">
        <v>1361</v>
      </c>
      <c r="E58" s="58">
        <v>10</v>
      </c>
      <c r="F58" s="58" t="s">
        <v>522</v>
      </c>
      <c r="G58" s="58">
        <v>1</v>
      </c>
      <c r="H58" s="58">
        <v>20</v>
      </c>
      <c r="I58" s="252" t="s">
        <v>3688</v>
      </c>
      <c r="J58" s="252" t="s">
        <v>3763</v>
      </c>
      <c r="K58" s="58" t="s">
        <v>3729</v>
      </c>
      <c r="L58" s="58">
        <v>-1</v>
      </c>
      <c r="M58" s="58">
        <v>6</v>
      </c>
      <c r="N58" s="58">
        <v>1864</v>
      </c>
      <c r="O58" s="58">
        <v>750</v>
      </c>
      <c r="P58" s="58" t="s">
        <v>522</v>
      </c>
      <c r="Q58" s="58">
        <v>18</v>
      </c>
      <c r="R58" s="58">
        <v>5</v>
      </c>
      <c r="S58" s="58">
        <v>8</v>
      </c>
      <c r="T58" s="58" t="s">
        <v>522</v>
      </c>
      <c r="U58" s="58" t="s">
        <v>522</v>
      </c>
    </row>
    <row r="59" spans="1:21" x14ac:dyDescent="0.3">
      <c r="A59" t="str">
        <f t="shared" si="3"/>
        <v/>
      </c>
      <c r="B59" s="24" t="s">
        <v>519</v>
      </c>
      <c r="C59" s="61" t="s">
        <v>1358</v>
      </c>
      <c r="D59" s="58" t="s">
        <v>4148</v>
      </c>
      <c r="E59" s="58">
        <v>30</v>
      </c>
      <c r="F59" s="58">
        <v>1</v>
      </c>
      <c r="G59" s="58">
        <v>1</v>
      </c>
      <c r="H59" s="58">
        <v>20</v>
      </c>
      <c r="I59" s="252" t="s">
        <v>3688</v>
      </c>
      <c r="J59" s="252" t="s">
        <v>3763</v>
      </c>
      <c r="K59" s="58" t="s">
        <v>3729</v>
      </c>
      <c r="L59" s="58">
        <v>-1</v>
      </c>
      <c r="M59" s="58">
        <v>6</v>
      </c>
      <c r="N59" s="58">
        <v>1864</v>
      </c>
      <c r="O59" s="58">
        <v>2000</v>
      </c>
      <c r="P59" s="58" t="s">
        <v>522</v>
      </c>
      <c r="Q59" s="58">
        <v>18</v>
      </c>
      <c r="R59" s="58">
        <v>5</v>
      </c>
      <c r="S59" s="58">
        <v>8</v>
      </c>
      <c r="T59" s="58" t="s">
        <v>522</v>
      </c>
      <c r="U59" s="58" t="s">
        <v>522</v>
      </c>
    </row>
    <row r="60" spans="1:21" x14ac:dyDescent="0.3">
      <c r="A60" t="str">
        <f t="shared" si="3"/>
        <v/>
      </c>
      <c r="B60" s="24" t="s">
        <v>1328</v>
      </c>
      <c r="C60" s="61" t="s">
        <v>1358</v>
      </c>
      <c r="D60" s="58" t="s">
        <v>391</v>
      </c>
      <c r="E60" s="58">
        <v>1</v>
      </c>
      <c r="F60" s="58">
        <v>1</v>
      </c>
      <c r="G60" s="58">
        <v>1</v>
      </c>
      <c r="H60" s="58">
        <v>20</v>
      </c>
      <c r="I60" s="252" t="s">
        <v>3688</v>
      </c>
      <c r="J60" s="252" t="s">
        <v>3762</v>
      </c>
      <c r="K60" s="58" t="s">
        <v>3724</v>
      </c>
      <c r="L60" s="58">
        <v>1</v>
      </c>
      <c r="M60" s="58">
        <v>1</v>
      </c>
      <c r="N60" s="58">
        <v>1863</v>
      </c>
      <c r="O60" s="58">
        <v>150</v>
      </c>
      <c r="P60" s="58" t="s">
        <v>522</v>
      </c>
      <c r="Q60" s="58">
        <v>19</v>
      </c>
      <c r="R60" s="58">
        <v>1</v>
      </c>
      <c r="S60" s="58">
        <v>0</v>
      </c>
      <c r="T60" s="58" t="s">
        <v>522</v>
      </c>
      <c r="U60" s="58" t="s">
        <v>522</v>
      </c>
    </row>
    <row r="61" spans="1:21" x14ac:dyDescent="0.3">
      <c r="B61" s="24" t="s">
        <v>4860</v>
      </c>
      <c r="C61" s="61" t="s">
        <v>1358</v>
      </c>
      <c r="D61" s="58" t="s">
        <v>409</v>
      </c>
      <c r="E61" s="58">
        <v>1</v>
      </c>
      <c r="F61" s="58">
        <v>1</v>
      </c>
      <c r="G61" s="58">
        <v>1</v>
      </c>
      <c r="H61" s="58">
        <v>10</v>
      </c>
      <c r="I61" s="252" t="s">
        <v>3697</v>
      </c>
      <c r="J61" s="252" t="s">
        <v>386</v>
      </c>
      <c r="K61" s="58" t="s">
        <v>386</v>
      </c>
      <c r="L61" s="58">
        <v>1</v>
      </c>
      <c r="M61" s="58">
        <v>1</v>
      </c>
      <c r="N61" s="58">
        <v>1863</v>
      </c>
      <c r="O61" s="58">
        <v>100</v>
      </c>
      <c r="P61" s="58" t="s">
        <v>522</v>
      </c>
      <c r="Q61" s="58">
        <v>19</v>
      </c>
      <c r="R61" s="58">
        <v>0.5</v>
      </c>
      <c r="S61" s="58">
        <v>0</v>
      </c>
      <c r="T61" s="58">
        <v>1</v>
      </c>
      <c r="U61" s="58" t="s">
        <v>4861</v>
      </c>
    </row>
    <row r="62" spans="1:21" x14ac:dyDescent="0.3">
      <c r="B62" s="24" t="s">
        <v>4857</v>
      </c>
      <c r="C62" s="61" t="s">
        <v>1358</v>
      </c>
      <c r="D62" s="58" t="s">
        <v>4859</v>
      </c>
      <c r="E62" s="58">
        <v>10</v>
      </c>
      <c r="F62" s="58">
        <v>1</v>
      </c>
      <c r="G62" s="58">
        <v>1</v>
      </c>
      <c r="H62" s="58" t="s">
        <v>522</v>
      </c>
      <c r="I62" s="252" t="s">
        <v>522</v>
      </c>
      <c r="J62" s="252" t="s">
        <v>550</v>
      </c>
      <c r="K62" s="252" t="s">
        <v>550</v>
      </c>
      <c r="L62" s="58">
        <v>1</v>
      </c>
      <c r="M62" s="58">
        <v>1</v>
      </c>
      <c r="N62" s="58">
        <v>1863</v>
      </c>
      <c r="O62" s="58">
        <v>999</v>
      </c>
      <c r="P62" s="58" t="s">
        <v>522</v>
      </c>
      <c r="Q62" s="58">
        <v>18</v>
      </c>
      <c r="R62" s="58">
        <v>6</v>
      </c>
      <c r="S62" s="58">
        <v>0</v>
      </c>
      <c r="T62" s="58" t="s">
        <v>522</v>
      </c>
      <c r="U62" s="58" t="s">
        <v>4858</v>
      </c>
    </row>
    <row r="63" spans="1:21" x14ac:dyDescent="0.3">
      <c r="A63" t="str">
        <f t="shared" si="3"/>
        <v/>
      </c>
      <c r="B63" s="24" t="s">
        <v>1351</v>
      </c>
      <c r="C63" s="61" t="s">
        <v>1358</v>
      </c>
      <c r="D63" s="58" t="s">
        <v>522</v>
      </c>
      <c r="E63" s="58" t="s">
        <v>522</v>
      </c>
      <c r="F63" s="58">
        <v>1</v>
      </c>
      <c r="G63" s="58">
        <v>1</v>
      </c>
      <c r="H63" s="58" t="s">
        <v>522</v>
      </c>
      <c r="I63" s="252" t="s">
        <v>522</v>
      </c>
      <c r="J63" s="58" t="str">
        <f>CONCATENATE('Perso Classic'!$C$50,"d",déForce,"+1d6 +1d4")</f>
        <v>d0+1d6 +1d4</v>
      </c>
      <c r="K63" s="58" t="str">
        <f>CONCATENATE('Perso Reloaded'!$C$14,"d",'Perso Reloaded'!$E$14," + 1d6 + 1d4")</f>
        <v>d + 1d6 + 1d4</v>
      </c>
      <c r="L63" s="58" t="s">
        <v>522</v>
      </c>
      <c r="M63" s="58" t="s">
        <v>522</v>
      </c>
      <c r="N63" s="58">
        <v>1864</v>
      </c>
      <c r="O63" s="58">
        <v>400</v>
      </c>
      <c r="P63" s="58" t="s">
        <v>522</v>
      </c>
      <c r="Q63" s="58">
        <v>18</v>
      </c>
      <c r="R63" s="58">
        <v>5</v>
      </c>
      <c r="S63" s="58">
        <v>0</v>
      </c>
      <c r="T63" s="58" t="s">
        <v>522</v>
      </c>
      <c r="U63" s="58" t="s">
        <v>522</v>
      </c>
    </row>
    <row r="64" spans="1:21" x14ac:dyDescent="0.3">
      <c r="A64" t="str">
        <f t="shared" si="3"/>
        <v/>
      </c>
      <c r="B64" s="61" t="s">
        <v>1329</v>
      </c>
      <c r="C64" s="61" t="s">
        <v>1358</v>
      </c>
      <c r="D64" s="58" t="s">
        <v>1331</v>
      </c>
      <c r="E64" s="58">
        <v>6</v>
      </c>
      <c r="F64" s="58">
        <v>1</v>
      </c>
      <c r="G64" s="58">
        <v>1</v>
      </c>
      <c r="H64" s="58">
        <v>10</v>
      </c>
      <c r="I64" s="252" t="s">
        <v>3697</v>
      </c>
      <c r="J64" s="252" t="s">
        <v>387</v>
      </c>
      <c r="K64" s="58" t="s">
        <v>387</v>
      </c>
      <c r="L64" s="58">
        <v>0</v>
      </c>
      <c r="M64" s="58">
        <v>5</v>
      </c>
      <c r="N64" s="58">
        <v>1750</v>
      </c>
      <c r="O64" s="58">
        <v>300</v>
      </c>
      <c r="P64" s="58" t="s">
        <v>522</v>
      </c>
      <c r="Q64" s="58">
        <v>19</v>
      </c>
      <c r="R64" s="58">
        <v>5</v>
      </c>
      <c r="S64" s="58">
        <v>0</v>
      </c>
      <c r="T64" s="58">
        <v>2</v>
      </c>
      <c r="U64" s="58" t="s">
        <v>522</v>
      </c>
    </row>
    <row r="65" spans="1:21" x14ac:dyDescent="0.3">
      <c r="A65" t="str">
        <f t="shared" si="3"/>
        <v/>
      </c>
      <c r="B65" s="61" t="s">
        <v>1560</v>
      </c>
      <c r="C65" s="61" t="s">
        <v>1358</v>
      </c>
      <c r="D65" s="58" t="s">
        <v>1561</v>
      </c>
      <c r="E65" s="58" t="s">
        <v>522</v>
      </c>
      <c r="F65" s="58">
        <v>1</v>
      </c>
      <c r="G65" s="58">
        <v>1</v>
      </c>
      <c r="H65" s="58">
        <v>10</v>
      </c>
      <c r="I65" s="252" t="s">
        <v>3697</v>
      </c>
      <c r="J65" s="252" t="s">
        <v>3764</v>
      </c>
      <c r="K65" s="58" t="s">
        <v>3730</v>
      </c>
      <c r="L65" s="58">
        <v>0</v>
      </c>
      <c r="M65" s="58">
        <v>5</v>
      </c>
      <c r="N65" s="58">
        <v>1750</v>
      </c>
      <c r="O65" s="58">
        <v>1750</v>
      </c>
      <c r="P65" s="58" t="s">
        <v>522</v>
      </c>
      <c r="Q65" s="58">
        <v>19</v>
      </c>
      <c r="R65" s="58">
        <v>5</v>
      </c>
      <c r="S65" s="58">
        <v>6</v>
      </c>
      <c r="T65" s="58">
        <v>2</v>
      </c>
      <c r="U65" s="58" t="s">
        <v>522</v>
      </c>
    </row>
    <row r="66" spans="1:21" x14ac:dyDescent="0.3">
      <c r="A66" t="str">
        <f t="shared" si="3"/>
        <v/>
      </c>
      <c r="B66" s="24" t="s">
        <v>519</v>
      </c>
      <c r="C66" s="61" t="s">
        <v>1358</v>
      </c>
      <c r="D66" s="58" t="s">
        <v>522</v>
      </c>
      <c r="E66" s="58">
        <v>30</v>
      </c>
      <c r="F66" s="58">
        <v>1</v>
      </c>
      <c r="G66" s="58" t="s">
        <v>523</v>
      </c>
      <c r="H66" s="58">
        <v>20</v>
      </c>
      <c r="I66" s="252" t="s">
        <v>3688</v>
      </c>
      <c r="J66" s="252" t="s">
        <v>949</v>
      </c>
      <c r="K66" s="58" t="s">
        <v>949</v>
      </c>
      <c r="L66" s="58">
        <v>-1</v>
      </c>
      <c r="M66" s="58">
        <v>6</v>
      </c>
      <c r="N66" s="58">
        <v>1876</v>
      </c>
      <c r="O66" s="58">
        <v>2000</v>
      </c>
      <c r="P66" s="58" t="s">
        <v>522</v>
      </c>
      <c r="Q66" s="58">
        <v>19</v>
      </c>
      <c r="R66" s="58">
        <v>15</v>
      </c>
      <c r="S66" s="58">
        <v>8</v>
      </c>
      <c r="T66" s="58" t="s">
        <v>522</v>
      </c>
      <c r="U66" s="58" t="s">
        <v>522</v>
      </c>
    </row>
    <row r="67" spans="1:21" x14ac:dyDescent="0.3">
      <c r="A67" t="str">
        <f t="shared" si="3"/>
        <v/>
      </c>
      <c r="B67" s="24" t="s">
        <v>1559</v>
      </c>
      <c r="C67" s="61" t="s">
        <v>1358</v>
      </c>
      <c r="D67" s="58" t="s">
        <v>522</v>
      </c>
      <c r="E67" s="58" t="s">
        <v>522</v>
      </c>
      <c r="F67" s="58">
        <v>1</v>
      </c>
      <c r="G67" s="58">
        <v>2</v>
      </c>
      <c r="H67" s="58" t="s">
        <v>522</v>
      </c>
      <c r="I67" s="252" t="s">
        <v>522</v>
      </c>
      <c r="J67" s="58" t="str">
        <f>CONCATENATE(IF('Perso Classic'!$C$50="",'Perso Reloaded'!$C$14,IF('Perso Reloaded'!$C$14="",'Perso Classic'!$C$50,"")),"d",IF(déForce="",'Perso Reloaded'!$E$14,IF('Perso Reloaded'!$E$14="",déForce,""))," +2d6")</f>
        <v>d0 +2d6</v>
      </c>
      <c r="K67" s="58" t="str">
        <f>CONCATENATE(IF('Perso Classic'!$C$50="",'Perso Reloaded'!$C$14,IF('Perso Reloaded'!$C$14="",'Perso Classic'!$C$50,"")),"d",IF(déForce="",'Perso Reloaded'!$E$14,IF('Perso Reloaded'!$E$14="",déForce,""))," +2d6")</f>
        <v>d0 +2d6</v>
      </c>
      <c r="N67" s="58">
        <v>1864</v>
      </c>
      <c r="O67" s="58">
        <v>75</v>
      </c>
      <c r="P67" s="58" t="s">
        <v>522</v>
      </c>
      <c r="Q67" s="58">
        <v>19</v>
      </c>
      <c r="R67" s="58">
        <v>5</v>
      </c>
      <c r="S67" s="58">
        <v>8</v>
      </c>
      <c r="T67" s="58" t="s">
        <v>522</v>
      </c>
      <c r="U67" s="58" t="s">
        <v>522</v>
      </c>
    </row>
    <row r="68" spans="1:21" x14ac:dyDescent="0.3">
      <c r="A68" t="str">
        <f t="shared" si="3"/>
        <v/>
      </c>
      <c r="B68" s="61" t="s">
        <v>1356</v>
      </c>
      <c r="C68" s="61" t="s">
        <v>1358</v>
      </c>
      <c r="D68" s="58" t="s">
        <v>522</v>
      </c>
      <c r="E68" s="58">
        <v>15</v>
      </c>
      <c r="F68" s="58">
        <v>2</v>
      </c>
      <c r="G68" s="58">
        <v>1</v>
      </c>
      <c r="H68" s="58">
        <v>5</v>
      </c>
      <c r="I68" s="252" t="s">
        <v>3710</v>
      </c>
      <c r="J68" s="252" t="s">
        <v>1357</v>
      </c>
      <c r="K68" s="58" t="s">
        <v>1357</v>
      </c>
      <c r="L68" s="58">
        <v>0</v>
      </c>
      <c r="M68" s="58">
        <v>3</v>
      </c>
      <c r="N68" s="58">
        <v>1864</v>
      </c>
      <c r="O68" s="58">
        <v>2500</v>
      </c>
      <c r="P68" s="58" t="s">
        <v>522</v>
      </c>
      <c r="Q68" s="58">
        <v>18</v>
      </c>
      <c r="R68" s="58">
        <v>2</v>
      </c>
      <c r="S68" s="58">
        <v>0</v>
      </c>
      <c r="T68" s="58">
        <v>1</v>
      </c>
      <c r="U68" s="58" t="s">
        <v>522</v>
      </c>
    </row>
    <row r="69" spans="1:21" x14ac:dyDescent="0.3">
      <c r="A69" t="str">
        <f t="shared" si="3"/>
        <v/>
      </c>
      <c r="B69" s="61" t="s">
        <v>1330</v>
      </c>
      <c r="C69" s="61" t="s">
        <v>1358</v>
      </c>
      <c r="D69" s="58" t="s">
        <v>1331</v>
      </c>
      <c r="E69" s="58">
        <v>10</v>
      </c>
      <c r="F69" s="58">
        <v>2</v>
      </c>
      <c r="G69" s="58">
        <v>1</v>
      </c>
      <c r="H69" s="58">
        <v>20</v>
      </c>
      <c r="I69" s="252" t="s">
        <v>3688</v>
      </c>
      <c r="J69" s="252" t="s">
        <v>1332</v>
      </c>
      <c r="K69" s="58" t="s">
        <v>1332</v>
      </c>
      <c r="L69" s="58">
        <v>0</v>
      </c>
      <c r="M69" s="58">
        <v>3</v>
      </c>
      <c r="N69" s="58">
        <v>1864</v>
      </c>
      <c r="O69" s="58">
        <v>500</v>
      </c>
      <c r="P69" s="58" t="s">
        <v>522</v>
      </c>
      <c r="Q69" s="58">
        <v>19</v>
      </c>
      <c r="R69" s="58">
        <v>2</v>
      </c>
      <c r="S69" s="58">
        <v>0</v>
      </c>
      <c r="T69" s="58">
        <v>1</v>
      </c>
      <c r="U69" s="58" t="s">
        <v>522</v>
      </c>
    </row>
    <row r="70" spans="1:21" x14ac:dyDescent="0.3">
      <c r="A70" t="str">
        <f t="shared" si="3"/>
        <v/>
      </c>
      <c r="B70" s="61" t="s">
        <v>1562</v>
      </c>
      <c r="C70" s="61" t="s">
        <v>1358</v>
      </c>
      <c r="D70" s="58" t="s">
        <v>1563</v>
      </c>
      <c r="E70" s="58">
        <v>1</v>
      </c>
      <c r="F70" s="58">
        <v>1</v>
      </c>
      <c r="G70" s="58">
        <v>1</v>
      </c>
      <c r="H70" s="58">
        <v>10</v>
      </c>
      <c r="I70" s="252" t="s">
        <v>3697</v>
      </c>
      <c r="J70" s="252" t="s">
        <v>3765</v>
      </c>
      <c r="K70" s="58">
        <v>0</v>
      </c>
      <c r="L70" s="58">
        <v>0</v>
      </c>
      <c r="M70" s="58">
        <v>3</v>
      </c>
      <c r="N70" s="58">
        <v>1864</v>
      </c>
      <c r="O70" s="58">
        <v>35</v>
      </c>
      <c r="P70" s="58" t="s">
        <v>522</v>
      </c>
      <c r="Q70" s="58">
        <v>18</v>
      </c>
      <c r="R70" s="58">
        <v>2</v>
      </c>
      <c r="S70" s="58">
        <v>0</v>
      </c>
      <c r="T70" s="58">
        <v>1</v>
      </c>
      <c r="U70" s="58" t="s">
        <v>522</v>
      </c>
    </row>
    <row r="71" spans="1:21" x14ac:dyDescent="0.3">
      <c r="A71" t="str">
        <f t="shared" si="3"/>
        <v/>
      </c>
      <c r="B71" s="24" t="s">
        <v>1350</v>
      </c>
      <c r="C71" s="61" t="s">
        <v>1358</v>
      </c>
      <c r="D71" s="58" t="s">
        <v>522</v>
      </c>
      <c r="E71" s="90" t="s">
        <v>1353</v>
      </c>
      <c r="F71" s="58">
        <v>1</v>
      </c>
      <c r="G71" s="58">
        <v>1</v>
      </c>
      <c r="H71" s="58">
        <v>3</v>
      </c>
      <c r="I71" s="252" t="s">
        <v>3731</v>
      </c>
      <c r="J71" s="252" t="s">
        <v>387</v>
      </c>
      <c r="K71" s="58" t="s">
        <v>387</v>
      </c>
      <c r="L71" s="58">
        <v>0</v>
      </c>
      <c r="M71" s="58">
        <v>3</v>
      </c>
      <c r="N71" s="58">
        <v>1864</v>
      </c>
      <c r="O71" s="58">
        <v>1500</v>
      </c>
      <c r="P71" s="58" t="s">
        <v>522</v>
      </c>
      <c r="Q71" s="58">
        <v>18</v>
      </c>
      <c r="R71" s="58">
        <v>2</v>
      </c>
      <c r="S71" s="58">
        <v>0</v>
      </c>
      <c r="T71" s="58">
        <v>1</v>
      </c>
      <c r="U71" s="58" t="s">
        <v>522</v>
      </c>
    </row>
    <row r="72" spans="1:21" x14ac:dyDescent="0.3">
      <c r="A72" t="str">
        <f t="shared" si="3"/>
        <v/>
      </c>
      <c r="B72" s="24" t="s">
        <v>1352</v>
      </c>
      <c r="C72" s="61" t="s">
        <v>1358</v>
      </c>
      <c r="D72" s="58" t="s">
        <v>522</v>
      </c>
      <c r="E72" s="58" t="s">
        <v>522</v>
      </c>
      <c r="F72" s="58">
        <v>1</v>
      </c>
      <c r="G72" s="58">
        <v>2</v>
      </c>
      <c r="H72" s="58" t="s">
        <v>522</v>
      </c>
      <c r="I72" s="252" t="s">
        <v>522</v>
      </c>
      <c r="J72" s="58" t="str">
        <f>CONCATENATE(IF('Perso Classic'!$C$50="",'Perso Reloaded'!$C$14,IF('Perso Reloaded'!$C$14="",'Perso Classic'!$C$50,"")),"d",IF(déForce="",'Perso Reloaded'!$E$14,IF('Perso Reloaded'!$E$14="",déForce,""))," + 2d8 + 1d4")</f>
        <v>d0 + 2d8 + 1d4</v>
      </c>
      <c r="K72" s="58" t="str">
        <f>CONCATENATE(IF('Perso Classic'!$C$50="",'Perso Reloaded'!$C$14,IF('Perso Reloaded'!$C$14="",'Perso Classic'!$C$50,"")),"d",IF(déForce="",'Perso Reloaded'!$E$14,IF('Perso Reloaded'!$E$14="",déForce,""))," + 2d8 + 1d4")</f>
        <v>d0 + 2d8 + 1d4</v>
      </c>
      <c r="L72" s="58" t="s">
        <v>522</v>
      </c>
      <c r="M72" s="58" t="s">
        <v>522</v>
      </c>
      <c r="N72" s="58">
        <v>1864</v>
      </c>
      <c r="O72" s="58">
        <v>800</v>
      </c>
      <c r="P72" s="58" t="s">
        <v>522</v>
      </c>
      <c r="Q72" s="58">
        <v>18</v>
      </c>
      <c r="R72" s="58">
        <v>3</v>
      </c>
      <c r="S72" s="58">
        <v>6</v>
      </c>
      <c r="T72" s="58" t="s">
        <v>522</v>
      </c>
      <c r="U72" s="58" t="s">
        <v>522</v>
      </c>
    </row>
    <row r="73" spans="1:21" x14ac:dyDescent="0.3">
      <c r="A73" t="str">
        <f t="shared" si="3"/>
        <v/>
      </c>
      <c r="B73" s="24" t="s">
        <v>1428</v>
      </c>
      <c r="C73" s="61" t="s">
        <v>27</v>
      </c>
      <c r="D73" s="58" t="s">
        <v>522</v>
      </c>
      <c r="E73" s="58">
        <v>1</v>
      </c>
      <c r="F73" s="58">
        <v>1</v>
      </c>
      <c r="G73" s="58">
        <v>1</v>
      </c>
      <c r="H73" s="58">
        <v>5</v>
      </c>
      <c r="I73" s="252" t="s">
        <v>3710</v>
      </c>
      <c r="J73" s="252" t="s">
        <v>3761</v>
      </c>
      <c r="K73" s="58" t="s">
        <v>3700</v>
      </c>
      <c r="L73" s="58">
        <v>0</v>
      </c>
      <c r="M73" s="58">
        <v>2</v>
      </c>
      <c r="N73" s="58">
        <v>1860</v>
      </c>
      <c r="O73" s="58">
        <v>3</v>
      </c>
      <c r="P73" s="58" t="s">
        <v>522</v>
      </c>
      <c r="Q73" s="58">
        <v>21</v>
      </c>
      <c r="R73" s="58">
        <v>0.25</v>
      </c>
      <c r="S73" s="58">
        <v>0</v>
      </c>
      <c r="T73" s="58" t="s">
        <v>522</v>
      </c>
      <c r="U73" s="58" t="s">
        <v>522</v>
      </c>
    </row>
    <row r="74" spans="1:21" x14ac:dyDescent="0.3">
      <c r="A74" t="str">
        <f t="shared" si="3"/>
        <v/>
      </c>
      <c r="B74" s="24" t="s">
        <v>1429</v>
      </c>
      <c r="C74" s="61" t="s">
        <v>27</v>
      </c>
      <c r="D74" s="58" t="s">
        <v>522</v>
      </c>
      <c r="E74" s="58">
        <v>1</v>
      </c>
      <c r="F74" s="58">
        <v>1</v>
      </c>
      <c r="G74" s="58">
        <v>1</v>
      </c>
      <c r="H74" s="58">
        <v>5</v>
      </c>
      <c r="I74" s="252" t="s">
        <v>3710</v>
      </c>
      <c r="J74" s="252" t="s">
        <v>3761</v>
      </c>
      <c r="K74" s="58" t="s">
        <v>3700</v>
      </c>
      <c r="L74" s="58">
        <v>0</v>
      </c>
      <c r="M74" s="58">
        <v>2</v>
      </c>
      <c r="N74" s="58">
        <v>1860</v>
      </c>
      <c r="O74" s="58">
        <v>4</v>
      </c>
      <c r="P74" s="58" t="s">
        <v>522</v>
      </c>
      <c r="Q74" s="58">
        <v>21</v>
      </c>
      <c r="R74" s="58">
        <v>0.25</v>
      </c>
      <c r="S74" s="58">
        <v>0</v>
      </c>
      <c r="T74" s="58" t="s">
        <v>522</v>
      </c>
      <c r="U74" s="58" t="s">
        <v>522</v>
      </c>
    </row>
    <row r="75" spans="1:21" x14ac:dyDescent="0.3">
      <c r="A75" t="str">
        <f t="shared" si="3"/>
        <v/>
      </c>
      <c r="B75" s="24" t="s">
        <v>530</v>
      </c>
      <c r="C75" s="61" t="s">
        <v>27</v>
      </c>
      <c r="D75" s="58" t="s">
        <v>522</v>
      </c>
      <c r="E75" s="58">
        <v>1</v>
      </c>
      <c r="F75" s="58">
        <v>2</v>
      </c>
      <c r="G75" s="58">
        <v>1</v>
      </c>
      <c r="H75" s="58">
        <v>5</v>
      </c>
      <c r="I75" s="252" t="s">
        <v>3710</v>
      </c>
      <c r="J75" s="252" t="s">
        <v>3763</v>
      </c>
      <c r="K75" s="58" t="s">
        <v>386</v>
      </c>
      <c r="L75" s="58">
        <v>0</v>
      </c>
      <c r="M75" s="58">
        <v>2</v>
      </c>
      <c r="N75" s="58">
        <v>1867</v>
      </c>
      <c r="O75" s="58">
        <v>3</v>
      </c>
      <c r="P75" s="58" t="s">
        <v>522</v>
      </c>
      <c r="Q75" s="58">
        <v>21</v>
      </c>
      <c r="R75" s="58">
        <v>0.25</v>
      </c>
      <c r="S75" s="58">
        <v>0</v>
      </c>
      <c r="T75" s="58" t="s">
        <v>522</v>
      </c>
      <c r="U75" s="58" t="str">
        <f>IF(Syst.="Reloaded","+1d6 par bâton","-")</f>
        <v>+1d6 par bâton</v>
      </c>
    </row>
    <row r="76" spans="1:21" x14ac:dyDescent="0.3">
      <c r="A76" t="str">
        <f t="shared" si="3"/>
        <v/>
      </c>
      <c r="B76" s="24" t="s">
        <v>4767</v>
      </c>
      <c r="C76" s="61" t="s">
        <v>27</v>
      </c>
      <c r="D76" s="58" t="s">
        <v>522</v>
      </c>
      <c r="E76" s="58">
        <v>1</v>
      </c>
      <c r="F76" s="58">
        <v>1</v>
      </c>
      <c r="G76" s="58">
        <v>1</v>
      </c>
      <c r="H76" s="58" t="s">
        <v>522</v>
      </c>
      <c r="I76" s="252" t="s">
        <v>522</v>
      </c>
      <c r="J76" s="252" t="s">
        <v>3729</v>
      </c>
      <c r="K76" s="58" t="s">
        <v>4775</v>
      </c>
      <c r="L76" s="58">
        <v>0</v>
      </c>
      <c r="M76" s="58">
        <v>2</v>
      </c>
      <c r="N76" s="58">
        <v>1862</v>
      </c>
      <c r="O76" s="58">
        <v>150</v>
      </c>
      <c r="P76" s="58" t="s">
        <v>522</v>
      </c>
      <c r="Q76" s="58">
        <v>19</v>
      </c>
      <c r="S76" s="58">
        <v>0</v>
      </c>
      <c r="T76" s="58" t="s">
        <v>522</v>
      </c>
      <c r="U76" s="58" t="s">
        <v>4773</v>
      </c>
    </row>
    <row r="77" spans="1:21" x14ac:dyDescent="0.3">
      <c r="A77" t="str">
        <f t="shared" si="3"/>
        <v/>
      </c>
      <c r="B77" s="24" t="s">
        <v>4768</v>
      </c>
      <c r="C77" s="61" t="s">
        <v>27</v>
      </c>
      <c r="D77" s="58" t="s">
        <v>522</v>
      </c>
      <c r="E77" s="58">
        <v>1</v>
      </c>
      <c r="F77" s="58">
        <v>1</v>
      </c>
      <c r="G77" s="58">
        <v>1</v>
      </c>
      <c r="H77" s="58" t="s">
        <v>522</v>
      </c>
      <c r="I77" s="252" t="s">
        <v>522</v>
      </c>
      <c r="J77" s="252" t="s">
        <v>3729</v>
      </c>
      <c r="K77" s="58" t="s">
        <v>4775</v>
      </c>
      <c r="L77" s="58">
        <v>0</v>
      </c>
      <c r="M77" s="58">
        <v>2</v>
      </c>
      <c r="N77" s="58">
        <v>1862</v>
      </c>
      <c r="O77" s="58">
        <v>100</v>
      </c>
      <c r="P77" s="58" t="s">
        <v>522</v>
      </c>
      <c r="Q77" s="58">
        <v>19</v>
      </c>
      <c r="S77" s="58">
        <v>0</v>
      </c>
      <c r="T77" s="58" t="s">
        <v>522</v>
      </c>
      <c r="U77" s="58" t="s">
        <v>4774</v>
      </c>
    </row>
    <row r="78" spans="1:21" x14ac:dyDescent="0.3">
      <c r="A78" t="str">
        <f t="shared" si="3"/>
        <v/>
      </c>
      <c r="B78" s="24" t="s">
        <v>4769</v>
      </c>
      <c r="C78" s="61" t="s">
        <v>27</v>
      </c>
      <c r="D78" s="58" t="s">
        <v>522</v>
      </c>
      <c r="E78" s="58">
        <v>1</v>
      </c>
      <c r="F78" s="58">
        <v>1</v>
      </c>
      <c r="G78" s="58">
        <v>1</v>
      </c>
      <c r="H78" s="58" t="s">
        <v>522</v>
      </c>
      <c r="I78" s="252" t="s">
        <v>522</v>
      </c>
      <c r="J78" s="252" t="s">
        <v>3729</v>
      </c>
      <c r="K78" s="58" t="s">
        <v>4775</v>
      </c>
      <c r="L78" s="58">
        <v>0</v>
      </c>
      <c r="M78" s="58">
        <v>2</v>
      </c>
      <c r="N78" s="58">
        <v>1862</v>
      </c>
      <c r="O78" s="58">
        <v>200</v>
      </c>
      <c r="P78" s="58" t="s">
        <v>522</v>
      </c>
      <c r="Q78" s="58">
        <v>19</v>
      </c>
      <c r="S78" s="58">
        <v>0</v>
      </c>
      <c r="T78" s="58" t="s">
        <v>522</v>
      </c>
      <c r="U78" s="58" t="s">
        <v>4774</v>
      </c>
    </row>
    <row r="79" spans="1:21" x14ac:dyDescent="0.3">
      <c r="A79" t="str">
        <f t="shared" si="3"/>
        <v/>
      </c>
      <c r="B79" s="24" t="s">
        <v>1431</v>
      </c>
      <c r="C79" s="61" t="s">
        <v>27</v>
      </c>
      <c r="D79" s="58" t="s">
        <v>522</v>
      </c>
      <c r="E79" s="58">
        <v>1</v>
      </c>
      <c r="F79" s="58">
        <v>1</v>
      </c>
      <c r="G79" s="58">
        <v>1</v>
      </c>
      <c r="H79" s="58">
        <v>10</v>
      </c>
      <c r="I79" s="252" t="s">
        <v>3699</v>
      </c>
      <c r="J79" s="252" t="s">
        <v>523</v>
      </c>
      <c r="K79" s="58" t="s">
        <v>386</v>
      </c>
      <c r="L79" s="58">
        <v>0</v>
      </c>
      <c r="M79" s="58">
        <v>2</v>
      </c>
      <c r="N79" s="58">
        <v>1861</v>
      </c>
      <c r="O79" s="58">
        <v>10</v>
      </c>
      <c r="P79" s="58" t="s">
        <v>522</v>
      </c>
      <c r="Q79" s="58">
        <v>19</v>
      </c>
      <c r="R79" s="58">
        <v>4</v>
      </c>
      <c r="S79" s="58">
        <v>0</v>
      </c>
      <c r="T79" s="58" t="s">
        <v>522</v>
      </c>
      <c r="U79" s="58" t="s">
        <v>4868</v>
      </c>
    </row>
    <row r="80" spans="1:21" x14ac:dyDescent="0.3">
      <c r="B80" s="24" t="s">
        <v>4867</v>
      </c>
      <c r="C80" s="61" t="s">
        <v>27</v>
      </c>
      <c r="D80" s="58" t="s">
        <v>522</v>
      </c>
      <c r="E80" s="58">
        <v>1</v>
      </c>
      <c r="F80" s="58">
        <v>1</v>
      </c>
      <c r="G80" s="58">
        <v>1</v>
      </c>
      <c r="H80" s="58">
        <v>10</v>
      </c>
      <c r="I80" s="252" t="s">
        <v>3699</v>
      </c>
      <c r="J80" s="252" t="s">
        <v>386</v>
      </c>
      <c r="K80" s="58" t="s">
        <v>3730</v>
      </c>
      <c r="L80" s="58">
        <v>0</v>
      </c>
      <c r="M80" s="58">
        <v>2</v>
      </c>
      <c r="N80" s="58">
        <v>1863</v>
      </c>
      <c r="O80" s="58">
        <v>10</v>
      </c>
      <c r="P80" s="58" t="s">
        <v>522</v>
      </c>
      <c r="Q80" s="58">
        <v>19</v>
      </c>
      <c r="R80" s="58">
        <v>4</v>
      </c>
      <c r="S80" s="58">
        <v>0</v>
      </c>
      <c r="T80" s="58" t="s">
        <v>522</v>
      </c>
      <c r="U80" s="58" t="s">
        <v>4868</v>
      </c>
    </row>
    <row r="81" spans="1:21" x14ac:dyDescent="0.3">
      <c r="A81" t="str">
        <f t="shared" si="3"/>
        <v/>
      </c>
      <c r="B81" s="24" t="s">
        <v>4770</v>
      </c>
      <c r="C81" s="61" t="s">
        <v>27</v>
      </c>
      <c r="D81" s="58" t="s">
        <v>522</v>
      </c>
      <c r="E81" s="58">
        <v>1</v>
      </c>
      <c r="F81" s="58">
        <v>1</v>
      </c>
      <c r="G81" s="58">
        <v>1</v>
      </c>
      <c r="H81" s="58">
        <v>15</v>
      </c>
      <c r="I81" s="252" t="s">
        <v>4771</v>
      </c>
      <c r="J81" s="252" t="s">
        <v>4776</v>
      </c>
      <c r="K81" s="58" t="s">
        <v>4772</v>
      </c>
      <c r="L81" s="58">
        <v>0</v>
      </c>
      <c r="M81" s="58">
        <v>2</v>
      </c>
      <c r="N81" s="58">
        <v>1861</v>
      </c>
      <c r="O81" s="58">
        <v>500</v>
      </c>
      <c r="Q81" s="58">
        <v>19</v>
      </c>
      <c r="S81" s="58">
        <v>0</v>
      </c>
      <c r="T81" s="58" t="s">
        <v>522</v>
      </c>
      <c r="U81" s="58" t="s">
        <v>4774</v>
      </c>
    </row>
    <row r="82" spans="1:21" x14ac:dyDescent="0.3">
      <c r="A82" t="str">
        <f t="shared" si="3"/>
        <v/>
      </c>
      <c r="B82" s="24" t="s">
        <v>3711</v>
      </c>
      <c r="C82" s="61" t="s">
        <v>27</v>
      </c>
      <c r="D82" s="58" t="s">
        <v>522</v>
      </c>
      <c r="E82" s="58">
        <v>1</v>
      </c>
      <c r="F82" s="58">
        <v>1</v>
      </c>
      <c r="G82" s="58">
        <v>1</v>
      </c>
      <c r="H82" s="58">
        <v>5</v>
      </c>
      <c r="I82" s="252" t="s">
        <v>3710</v>
      </c>
      <c r="J82" s="252" t="s">
        <v>3763</v>
      </c>
      <c r="K82" s="58" t="s">
        <v>3700</v>
      </c>
      <c r="L82" s="58">
        <v>0</v>
      </c>
      <c r="M82" s="58">
        <v>3</v>
      </c>
      <c r="N82" s="58">
        <v>1846</v>
      </c>
      <c r="O82" s="58">
        <v>1.25</v>
      </c>
      <c r="P82" s="58" t="s">
        <v>522</v>
      </c>
      <c r="Q82" s="58">
        <v>21</v>
      </c>
      <c r="R82" s="58">
        <v>0.25</v>
      </c>
      <c r="S82" s="58">
        <v>0</v>
      </c>
      <c r="T82" s="58" t="s">
        <v>522</v>
      </c>
      <c r="U82" s="58" t="s">
        <v>522</v>
      </c>
    </row>
    <row r="83" spans="1:21" x14ac:dyDescent="0.3">
      <c r="A83" t="str">
        <f t="shared" ref="A83:A124" si="4">IF(OR(AnnéeJeu&lt;N83,déForce&lt;S83),"",B83)</f>
        <v/>
      </c>
      <c r="B83" s="24" t="s">
        <v>476</v>
      </c>
      <c r="C83" s="61" t="s">
        <v>475</v>
      </c>
      <c r="D83" s="58" t="s">
        <v>499</v>
      </c>
      <c r="E83" s="58">
        <v>1</v>
      </c>
      <c r="F83" s="58">
        <v>2</v>
      </c>
      <c r="G83" s="58">
        <v>1</v>
      </c>
      <c r="H83" s="58">
        <v>20</v>
      </c>
      <c r="I83" s="252" t="s">
        <v>3688</v>
      </c>
      <c r="J83" s="252" t="s">
        <v>3766</v>
      </c>
      <c r="K83" s="58" t="s">
        <v>3702</v>
      </c>
      <c r="L83" s="58">
        <v>0</v>
      </c>
      <c r="M83" s="58">
        <v>4</v>
      </c>
      <c r="N83" s="58">
        <v>1872</v>
      </c>
      <c r="O83" s="58">
        <v>24</v>
      </c>
      <c r="P83" s="58" t="s">
        <v>522</v>
      </c>
      <c r="Q83" s="58">
        <v>21</v>
      </c>
      <c r="R83" s="58">
        <v>5.5</v>
      </c>
      <c r="S83" s="58">
        <v>0</v>
      </c>
      <c r="T83" s="58">
        <v>2</v>
      </c>
      <c r="U83" s="58" t="s">
        <v>3696</v>
      </c>
    </row>
    <row r="84" spans="1:21" x14ac:dyDescent="0.3">
      <c r="A84" t="str">
        <f t="shared" si="4"/>
        <v/>
      </c>
      <c r="B84" s="24" t="s">
        <v>4618</v>
      </c>
      <c r="C84" s="61" t="s">
        <v>475</v>
      </c>
      <c r="D84" s="58" t="s">
        <v>427</v>
      </c>
      <c r="E84" s="58">
        <v>11</v>
      </c>
      <c r="F84" s="58">
        <v>2</v>
      </c>
      <c r="G84" s="58">
        <v>1</v>
      </c>
      <c r="H84" s="58">
        <v>20</v>
      </c>
      <c r="I84" s="252" t="s">
        <v>3688</v>
      </c>
      <c r="J84" s="252" t="s">
        <v>500</v>
      </c>
      <c r="K84" s="58" t="s">
        <v>1357</v>
      </c>
      <c r="L84" s="58">
        <v>0</v>
      </c>
      <c r="M84" s="58">
        <v>4</v>
      </c>
      <c r="N84" s="58">
        <v>1872</v>
      </c>
      <c r="O84" s="58">
        <v>30</v>
      </c>
      <c r="P84" s="58" t="s">
        <v>522</v>
      </c>
      <c r="Q84" s="58">
        <v>21</v>
      </c>
      <c r="R84" s="58">
        <v>5.5</v>
      </c>
      <c r="S84" s="58">
        <v>0</v>
      </c>
      <c r="T84" s="58">
        <v>2</v>
      </c>
      <c r="U84" s="58" t="s">
        <v>522</v>
      </c>
    </row>
    <row r="85" spans="1:21" x14ac:dyDescent="0.3">
      <c r="B85" s="24" t="s">
        <v>4522</v>
      </c>
      <c r="C85" s="61" t="s">
        <v>475</v>
      </c>
      <c r="D85" s="58">
        <v>44</v>
      </c>
      <c r="E85" s="58">
        <v>1</v>
      </c>
      <c r="F85" s="58">
        <v>2</v>
      </c>
      <c r="G85" s="58">
        <v>1</v>
      </c>
      <c r="H85" s="58">
        <v>25</v>
      </c>
      <c r="I85" s="252" t="s">
        <v>3688</v>
      </c>
      <c r="J85" s="252" t="s">
        <v>3774</v>
      </c>
      <c r="K85" s="58" t="s">
        <v>4235</v>
      </c>
      <c r="L85" s="58">
        <v>-1</v>
      </c>
      <c r="M85" s="58">
        <v>6</v>
      </c>
      <c r="N85" s="58">
        <v>1866</v>
      </c>
      <c r="O85" s="58">
        <v>20</v>
      </c>
      <c r="P85" s="58" t="s">
        <v>522</v>
      </c>
      <c r="Q85" s="58">
        <v>21</v>
      </c>
      <c r="R85" s="58">
        <v>4.5</v>
      </c>
      <c r="S85" s="58">
        <v>0</v>
      </c>
      <c r="T85" s="58">
        <v>2</v>
      </c>
      <c r="U85" s="58" t="s">
        <v>522</v>
      </c>
    </row>
    <row r="86" spans="1:21" x14ac:dyDescent="0.3">
      <c r="A86" t="str">
        <f t="shared" si="4"/>
        <v/>
      </c>
      <c r="B86" s="24" t="s">
        <v>4218</v>
      </c>
      <c r="C86" s="61" t="s">
        <v>475</v>
      </c>
      <c r="D86" s="58" t="s">
        <v>503</v>
      </c>
      <c r="E86" s="58">
        <v>1</v>
      </c>
      <c r="F86" s="58">
        <v>2</v>
      </c>
      <c r="G86" s="58">
        <v>1</v>
      </c>
      <c r="H86" s="58">
        <v>20</v>
      </c>
      <c r="I86" s="252" t="s">
        <v>3690</v>
      </c>
      <c r="J86" s="252" t="s">
        <v>3769</v>
      </c>
      <c r="K86" s="58" t="s">
        <v>3691</v>
      </c>
      <c r="L86" s="58">
        <v>0</v>
      </c>
      <c r="M86" s="58">
        <v>4</v>
      </c>
      <c r="N86" s="58">
        <v>1863</v>
      </c>
      <c r="O86" s="58">
        <v>18</v>
      </c>
      <c r="P86" s="58" t="s">
        <v>522</v>
      </c>
      <c r="Q86" s="58">
        <v>21</v>
      </c>
      <c r="R86" s="58">
        <v>4</v>
      </c>
      <c r="S86" s="58">
        <v>0</v>
      </c>
      <c r="T86" s="58">
        <v>2</v>
      </c>
      <c r="U86" s="58" t="s">
        <v>3696</v>
      </c>
    </row>
    <row r="87" spans="1:21" x14ac:dyDescent="0.3">
      <c r="A87" t="str">
        <f t="shared" si="4"/>
        <v/>
      </c>
      <c r="B87" s="24" t="s">
        <v>477</v>
      </c>
      <c r="C87" s="61" t="s">
        <v>475</v>
      </c>
      <c r="D87" s="58" t="s">
        <v>413</v>
      </c>
      <c r="E87" s="58">
        <v>9</v>
      </c>
      <c r="F87" s="58">
        <v>2</v>
      </c>
      <c r="G87" s="58">
        <v>1</v>
      </c>
      <c r="H87" s="58">
        <v>15</v>
      </c>
      <c r="I87" s="252" t="s">
        <v>3690</v>
      </c>
      <c r="J87" s="252" t="s">
        <v>3767</v>
      </c>
      <c r="K87" s="58" t="s">
        <v>3687</v>
      </c>
      <c r="L87" s="58">
        <v>0</v>
      </c>
      <c r="M87" s="58">
        <v>4</v>
      </c>
      <c r="N87" s="58">
        <v>1860</v>
      </c>
      <c r="O87" s="58">
        <v>35</v>
      </c>
      <c r="P87" s="58" t="s">
        <v>522</v>
      </c>
      <c r="Q87" s="58">
        <v>21</v>
      </c>
      <c r="R87" s="58">
        <v>4.5</v>
      </c>
      <c r="S87" s="58">
        <v>0</v>
      </c>
      <c r="T87" s="58">
        <v>2</v>
      </c>
      <c r="U87" s="58" t="s">
        <v>504</v>
      </c>
    </row>
    <row r="88" spans="1:21" x14ac:dyDescent="0.3">
      <c r="A88" t="str">
        <f t="shared" si="4"/>
        <v/>
      </c>
      <c r="B88" s="24" t="s">
        <v>3698</v>
      </c>
      <c r="C88" s="61" t="s">
        <v>475</v>
      </c>
      <c r="D88" s="58" t="s">
        <v>501</v>
      </c>
      <c r="E88" s="58">
        <v>1</v>
      </c>
      <c r="F88" s="58">
        <v>2</v>
      </c>
      <c r="G88" s="58">
        <v>1</v>
      </c>
      <c r="H88" s="58">
        <v>2</v>
      </c>
      <c r="I88" s="252" t="s">
        <v>3697</v>
      </c>
      <c r="J88" s="252" t="s">
        <v>3768</v>
      </c>
      <c r="K88" s="58" t="s">
        <v>3722</v>
      </c>
      <c r="L88" s="58">
        <v>0</v>
      </c>
      <c r="M88" s="58">
        <v>4</v>
      </c>
      <c r="N88" s="58">
        <v>1860</v>
      </c>
      <c r="O88" s="58">
        <v>0</v>
      </c>
      <c r="P88" s="58" t="s">
        <v>522</v>
      </c>
      <c r="Q88" s="58">
        <v>21</v>
      </c>
      <c r="R88" s="58">
        <v>1</v>
      </c>
      <c r="S88" s="58">
        <v>0</v>
      </c>
      <c r="T88" s="58" t="s">
        <v>522</v>
      </c>
      <c r="U88" s="58" t="s">
        <v>504</v>
      </c>
    </row>
    <row r="89" spans="1:21" x14ac:dyDescent="0.3">
      <c r="A89" t="str">
        <f t="shared" si="4"/>
        <v/>
      </c>
      <c r="B89" s="24" t="s">
        <v>478</v>
      </c>
      <c r="C89" s="61" t="s">
        <v>475</v>
      </c>
      <c r="D89" s="58" t="s">
        <v>502</v>
      </c>
      <c r="E89" s="58">
        <v>1</v>
      </c>
      <c r="F89" s="58">
        <v>2</v>
      </c>
      <c r="G89" s="58">
        <v>1</v>
      </c>
      <c r="H89" s="58">
        <v>20</v>
      </c>
      <c r="I89" s="252" t="s">
        <v>3690</v>
      </c>
      <c r="J89" s="252" t="s">
        <v>3769</v>
      </c>
      <c r="K89" s="58" t="s">
        <v>3691</v>
      </c>
      <c r="L89" s="58">
        <v>0</v>
      </c>
      <c r="M89" s="58">
        <v>4</v>
      </c>
      <c r="N89" s="58">
        <v>1855</v>
      </c>
      <c r="O89" s="58">
        <v>18</v>
      </c>
      <c r="P89" s="58" t="s">
        <v>522</v>
      </c>
      <c r="Q89" s="58">
        <v>21</v>
      </c>
      <c r="R89" s="58">
        <v>4</v>
      </c>
      <c r="S89" s="58">
        <v>0</v>
      </c>
      <c r="T89" s="58">
        <v>2</v>
      </c>
      <c r="U89" s="58" t="s">
        <v>3696</v>
      </c>
    </row>
    <row r="90" spans="1:21" x14ac:dyDescent="0.3">
      <c r="A90" t="str">
        <f t="shared" si="4"/>
        <v/>
      </c>
      <c r="B90" s="24" t="s">
        <v>2962</v>
      </c>
      <c r="C90" s="61" t="s">
        <v>475</v>
      </c>
      <c r="D90" s="58" t="s">
        <v>503</v>
      </c>
      <c r="E90" s="58">
        <v>1</v>
      </c>
      <c r="F90" s="58">
        <v>2</v>
      </c>
      <c r="G90" s="58">
        <v>1</v>
      </c>
      <c r="H90" s="58">
        <v>15</v>
      </c>
      <c r="I90" s="252" t="s">
        <v>3690</v>
      </c>
      <c r="J90" s="252" t="s">
        <v>3770</v>
      </c>
      <c r="K90" s="58" t="s">
        <v>3725</v>
      </c>
      <c r="L90" s="58">
        <v>0</v>
      </c>
      <c r="M90" s="58">
        <v>4</v>
      </c>
      <c r="N90" s="58">
        <v>1862</v>
      </c>
      <c r="O90" s="58">
        <v>15</v>
      </c>
      <c r="P90" s="58" t="s">
        <v>522</v>
      </c>
      <c r="Q90" s="58">
        <v>21</v>
      </c>
      <c r="R90" s="58">
        <v>4</v>
      </c>
      <c r="S90" s="58">
        <v>0</v>
      </c>
      <c r="T90" s="58">
        <v>2</v>
      </c>
      <c r="U90" s="58" t="s">
        <v>522</v>
      </c>
    </row>
    <row r="91" spans="1:21" x14ac:dyDescent="0.3">
      <c r="A91" t="str">
        <f t="shared" si="4"/>
        <v/>
      </c>
      <c r="B91" s="24" t="s">
        <v>2963</v>
      </c>
      <c r="C91" s="61" t="s">
        <v>475</v>
      </c>
      <c r="D91" s="58" t="s">
        <v>505</v>
      </c>
      <c r="E91" s="58">
        <v>7</v>
      </c>
      <c r="F91" s="58">
        <v>2</v>
      </c>
      <c r="G91" s="58">
        <v>1</v>
      </c>
      <c r="H91" s="58">
        <v>15</v>
      </c>
      <c r="I91" s="252" t="s">
        <v>3690</v>
      </c>
      <c r="J91" s="252" t="s">
        <v>3770</v>
      </c>
      <c r="K91" s="58" t="s">
        <v>3687</v>
      </c>
      <c r="L91" s="58">
        <v>0</v>
      </c>
      <c r="M91" s="58">
        <v>4</v>
      </c>
      <c r="N91" s="58">
        <v>1862</v>
      </c>
      <c r="O91" s="58">
        <v>15</v>
      </c>
      <c r="P91" s="58" t="s">
        <v>522</v>
      </c>
      <c r="Q91" s="58">
        <v>21</v>
      </c>
      <c r="R91" s="58">
        <v>4</v>
      </c>
      <c r="S91" s="58">
        <v>0</v>
      </c>
      <c r="T91" s="58">
        <v>2</v>
      </c>
      <c r="U91" s="58" t="s">
        <v>522</v>
      </c>
    </row>
    <row r="92" spans="1:21" x14ac:dyDescent="0.3">
      <c r="A92" t="str">
        <f t="shared" si="4"/>
        <v/>
      </c>
      <c r="B92" s="24" t="s">
        <v>2960</v>
      </c>
      <c r="C92" s="61" t="s">
        <v>475</v>
      </c>
      <c r="D92" s="58" t="s">
        <v>411</v>
      </c>
      <c r="E92" s="58">
        <v>30</v>
      </c>
      <c r="F92" s="58">
        <v>2</v>
      </c>
      <c r="G92" s="58">
        <v>1</v>
      </c>
      <c r="H92" s="58">
        <v>15</v>
      </c>
      <c r="I92" s="252" t="s">
        <v>3690</v>
      </c>
      <c r="J92" s="252" t="s">
        <v>3762</v>
      </c>
      <c r="K92" s="58" t="s">
        <v>3724</v>
      </c>
      <c r="L92" s="58">
        <v>-1</v>
      </c>
      <c r="M92" s="58">
        <v>4</v>
      </c>
      <c r="N92" s="58">
        <v>1855</v>
      </c>
      <c r="O92" s="58">
        <v>14</v>
      </c>
      <c r="P92" s="58" t="s">
        <v>522</v>
      </c>
      <c r="Q92" s="58">
        <v>21</v>
      </c>
      <c r="R92" s="58">
        <v>5</v>
      </c>
      <c r="S92" s="58">
        <v>0</v>
      </c>
      <c r="T92" s="58">
        <v>2</v>
      </c>
      <c r="U92" s="58" t="s">
        <v>506</v>
      </c>
    </row>
    <row r="93" spans="1:21" x14ac:dyDescent="0.3">
      <c r="A93" t="str">
        <f t="shared" si="4"/>
        <v/>
      </c>
      <c r="B93" s="24" t="s">
        <v>2961</v>
      </c>
      <c r="C93" s="61" t="s">
        <v>475</v>
      </c>
      <c r="D93" s="58" t="s">
        <v>418</v>
      </c>
      <c r="E93" s="58">
        <v>30</v>
      </c>
      <c r="F93" s="58">
        <v>2</v>
      </c>
      <c r="G93" s="58">
        <v>1</v>
      </c>
      <c r="H93" s="58">
        <v>20</v>
      </c>
      <c r="I93" s="252" t="s">
        <v>3688</v>
      </c>
      <c r="J93" s="252" t="s">
        <v>3771</v>
      </c>
      <c r="K93" s="58" t="s">
        <v>3726</v>
      </c>
      <c r="L93" s="58">
        <v>-1</v>
      </c>
      <c r="M93" s="58">
        <v>4</v>
      </c>
      <c r="N93" s="58">
        <v>1854</v>
      </c>
      <c r="O93" s="58">
        <v>25</v>
      </c>
      <c r="P93" s="58" t="s">
        <v>522</v>
      </c>
      <c r="Q93" s="58">
        <v>21</v>
      </c>
      <c r="R93" s="58">
        <v>5</v>
      </c>
      <c r="S93" s="58">
        <v>0</v>
      </c>
      <c r="T93" s="58">
        <v>2</v>
      </c>
      <c r="U93" s="58" t="s">
        <v>506</v>
      </c>
    </row>
    <row r="94" spans="1:21" x14ac:dyDescent="0.3">
      <c r="A94" t="str">
        <f t="shared" si="4"/>
        <v/>
      </c>
      <c r="B94" s="24" t="s">
        <v>479</v>
      </c>
      <c r="C94" s="61" t="s">
        <v>475</v>
      </c>
      <c r="D94" s="58" t="s">
        <v>507</v>
      </c>
      <c r="E94" s="58">
        <v>34</v>
      </c>
      <c r="F94" s="58">
        <v>2</v>
      </c>
      <c r="G94" s="58">
        <v>1</v>
      </c>
      <c r="H94" s="58">
        <v>20</v>
      </c>
      <c r="I94" s="252" t="s">
        <v>3688</v>
      </c>
      <c r="J94" s="252" t="s">
        <v>3770</v>
      </c>
      <c r="K94" s="58" t="s">
        <v>3687</v>
      </c>
      <c r="L94" s="58">
        <v>0</v>
      </c>
      <c r="M94" s="58">
        <v>4</v>
      </c>
      <c r="N94" s="58">
        <v>1875</v>
      </c>
      <c r="O94" s="58">
        <v>30</v>
      </c>
      <c r="P94" s="58" t="s">
        <v>522</v>
      </c>
      <c r="Q94" s="58">
        <v>21</v>
      </c>
      <c r="R94" s="58">
        <v>6</v>
      </c>
      <c r="S94" s="58">
        <v>0</v>
      </c>
      <c r="T94" s="58">
        <v>2</v>
      </c>
      <c r="U94" s="58" t="s">
        <v>522</v>
      </c>
    </row>
    <row r="95" spans="1:21" x14ac:dyDescent="0.3">
      <c r="A95" t="str">
        <f t="shared" si="4"/>
        <v/>
      </c>
      <c r="B95" s="24" t="s">
        <v>485</v>
      </c>
      <c r="C95" s="61" t="s">
        <v>475</v>
      </c>
      <c r="D95" s="58" t="s">
        <v>499</v>
      </c>
      <c r="E95" s="58">
        <v>5</v>
      </c>
      <c r="F95" s="58">
        <v>2</v>
      </c>
      <c r="G95" s="58">
        <v>1</v>
      </c>
      <c r="H95" s="58">
        <v>20</v>
      </c>
      <c r="I95" s="252" t="s">
        <v>3688</v>
      </c>
      <c r="J95" s="252" t="s">
        <v>3769</v>
      </c>
      <c r="K95" s="58" t="s">
        <v>1357</v>
      </c>
      <c r="L95" s="58">
        <v>0</v>
      </c>
      <c r="M95" s="58">
        <v>4</v>
      </c>
      <c r="N95" s="58">
        <v>1855</v>
      </c>
      <c r="O95" s="58">
        <v>24</v>
      </c>
      <c r="P95" s="58" t="s">
        <v>522</v>
      </c>
      <c r="Q95" s="58">
        <v>21</v>
      </c>
      <c r="R95" s="58">
        <v>6</v>
      </c>
      <c r="S95" s="58">
        <v>6</v>
      </c>
      <c r="T95" s="58">
        <v>2</v>
      </c>
      <c r="U95" s="254" t="s">
        <v>522</v>
      </c>
    </row>
    <row r="96" spans="1:21" x14ac:dyDescent="0.3">
      <c r="A96" t="str">
        <f t="shared" si="4"/>
        <v/>
      </c>
      <c r="B96" s="24" t="s">
        <v>484</v>
      </c>
      <c r="C96" s="61" t="s">
        <v>475</v>
      </c>
      <c r="D96" s="58" t="s">
        <v>416</v>
      </c>
      <c r="E96" s="58">
        <v>7</v>
      </c>
      <c r="F96" s="58">
        <v>2</v>
      </c>
      <c r="G96" s="58">
        <v>1</v>
      </c>
      <c r="H96" s="58">
        <v>20</v>
      </c>
      <c r="I96" s="252" t="s">
        <v>3688</v>
      </c>
      <c r="J96" s="252" t="s">
        <v>3770</v>
      </c>
      <c r="K96" s="58" t="s">
        <v>3725</v>
      </c>
      <c r="L96" s="58">
        <v>0</v>
      </c>
      <c r="M96" s="58">
        <v>4</v>
      </c>
      <c r="N96" s="58">
        <v>1885</v>
      </c>
      <c r="O96" s="58">
        <v>28</v>
      </c>
      <c r="P96" s="58" t="s">
        <v>522</v>
      </c>
      <c r="Q96" s="58">
        <v>21</v>
      </c>
      <c r="R96" s="58">
        <v>6</v>
      </c>
      <c r="S96" s="58">
        <v>6</v>
      </c>
      <c r="T96" s="58">
        <v>2</v>
      </c>
      <c r="U96" s="58" t="s">
        <v>522</v>
      </c>
    </row>
    <row r="97" spans="1:21" x14ac:dyDescent="0.3">
      <c r="A97" t="str">
        <f t="shared" si="4"/>
        <v/>
      </c>
      <c r="B97" s="24" t="s">
        <v>486</v>
      </c>
      <c r="C97" s="61" t="s">
        <v>475</v>
      </c>
      <c r="D97" s="58" t="s">
        <v>409</v>
      </c>
      <c r="E97" s="58">
        <v>16</v>
      </c>
      <c r="F97" s="58">
        <v>2</v>
      </c>
      <c r="G97" s="58">
        <v>1</v>
      </c>
      <c r="H97" s="58">
        <v>20</v>
      </c>
      <c r="I97" s="252" t="s">
        <v>3688</v>
      </c>
      <c r="J97" s="252" t="s">
        <v>3770</v>
      </c>
      <c r="K97" s="58" t="s">
        <v>3725</v>
      </c>
      <c r="L97" s="58">
        <v>0</v>
      </c>
      <c r="M97" s="58">
        <v>4</v>
      </c>
      <c r="N97" s="58">
        <v>1860</v>
      </c>
      <c r="O97" s="58">
        <v>35</v>
      </c>
      <c r="P97" s="58" t="s">
        <v>522</v>
      </c>
      <c r="Q97" s="58">
        <v>21</v>
      </c>
      <c r="R97" s="58">
        <v>6</v>
      </c>
      <c r="S97" s="58">
        <v>6</v>
      </c>
      <c r="T97" s="58">
        <v>2</v>
      </c>
      <c r="U97" s="58" t="s">
        <v>420</v>
      </c>
    </row>
    <row r="98" spans="1:21" x14ac:dyDescent="0.3">
      <c r="A98" t="str">
        <f t="shared" si="4"/>
        <v/>
      </c>
      <c r="B98" s="24" t="s">
        <v>487</v>
      </c>
      <c r="C98" s="61" t="s">
        <v>475</v>
      </c>
      <c r="D98" s="58" t="s">
        <v>513</v>
      </c>
      <c r="E98" s="58">
        <v>1</v>
      </c>
      <c r="F98" s="58">
        <v>2</v>
      </c>
      <c r="G98" s="58">
        <v>1</v>
      </c>
      <c r="H98" s="58">
        <v>20</v>
      </c>
      <c r="I98" s="252" t="s">
        <v>3688</v>
      </c>
      <c r="J98" s="252" t="s">
        <v>3770</v>
      </c>
      <c r="K98" s="58" t="s">
        <v>3725</v>
      </c>
      <c r="L98" s="58">
        <v>0</v>
      </c>
      <c r="M98" s="58">
        <v>4</v>
      </c>
      <c r="N98" s="58">
        <v>1878</v>
      </c>
      <c r="O98" s="58">
        <v>45</v>
      </c>
      <c r="P98" s="58" t="s">
        <v>522</v>
      </c>
      <c r="Q98" s="58">
        <v>21</v>
      </c>
      <c r="R98" s="58">
        <v>6</v>
      </c>
      <c r="S98" s="58">
        <v>6</v>
      </c>
      <c r="T98" s="58">
        <v>2</v>
      </c>
      <c r="U98" s="58" t="s">
        <v>512</v>
      </c>
    </row>
    <row r="99" spans="1:21" x14ac:dyDescent="0.3">
      <c r="A99" t="str">
        <f t="shared" si="4"/>
        <v/>
      </c>
      <c r="B99" s="24" t="s">
        <v>4219</v>
      </c>
      <c r="C99" s="61" t="s">
        <v>475</v>
      </c>
      <c r="D99" s="58" t="s">
        <v>409</v>
      </c>
      <c r="E99" s="58">
        <v>16</v>
      </c>
      <c r="F99" s="58">
        <v>2</v>
      </c>
      <c r="G99" s="58">
        <v>1</v>
      </c>
      <c r="H99" s="58">
        <v>20</v>
      </c>
      <c r="I99" s="252" t="s">
        <v>3697</v>
      </c>
      <c r="J99" s="252" t="s">
        <v>3770</v>
      </c>
      <c r="K99" s="58" t="s">
        <v>3687</v>
      </c>
      <c r="L99" s="58">
        <v>0</v>
      </c>
      <c r="M99" s="58">
        <v>4</v>
      </c>
      <c r="N99" s="58">
        <v>1866</v>
      </c>
      <c r="O99" s="58">
        <v>20</v>
      </c>
      <c r="P99" s="58" t="s">
        <v>522</v>
      </c>
      <c r="Q99" s="58">
        <v>21</v>
      </c>
      <c r="R99" s="58">
        <v>3.5</v>
      </c>
      <c r="S99" s="58">
        <v>6</v>
      </c>
      <c r="T99" s="58">
        <v>2</v>
      </c>
      <c r="U99" s="58" t="s">
        <v>512</v>
      </c>
    </row>
    <row r="100" spans="1:21" x14ac:dyDescent="0.3">
      <c r="A100" t="str">
        <f t="shared" si="4"/>
        <v/>
      </c>
      <c r="B100" s="24" t="s">
        <v>480</v>
      </c>
      <c r="C100" s="61" t="s">
        <v>475</v>
      </c>
      <c r="D100" s="58" t="s">
        <v>508</v>
      </c>
      <c r="E100" s="58">
        <v>7</v>
      </c>
      <c r="F100" s="58">
        <v>2</v>
      </c>
      <c r="G100" s="58">
        <v>1</v>
      </c>
      <c r="H100" s="58">
        <v>20</v>
      </c>
      <c r="I100" s="252" t="s">
        <v>3688</v>
      </c>
      <c r="J100" s="252" t="s">
        <v>3772</v>
      </c>
      <c r="K100" s="58" t="s">
        <v>1357</v>
      </c>
      <c r="L100" s="58">
        <v>0</v>
      </c>
      <c r="M100" s="58">
        <v>4</v>
      </c>
      <c r="N100" s="58">
        <v>1836</v>
      </c>
      <c r="O100" s="58">
        <v>25</v>
      </c>
      <c r="P100" s="58" t="s">
        <v>522</v>
      </c>
      <c r="Q100" s="58">
        <v>21</v>
      </c>
      <c r="R100" s="58">
        <v>6</v>
      </c>
      <c r="S100" s="58">
        <v>6</v>
      </c>
      <c r="T100" s="58">
        <v>2</v>
      </c>
      <c r="U100" s="58" t="s">
        <v>3696</v>
      </c>
    </row>
    <row r="101" spans="1:21" x14ac:dyDescent="0.3">
      <c r="A101" t="str">
        <f t="shared" si="4"/>
        <v/>
      </c>
      <c r="B101" s="24" t="s">
        <v>4224</v>
      </c>
      <c r="C101" s="61" t="s">
        <v>475</v>
      </c>
      <c r="D101" s="58" t="s">
        <v>407</v>
      </c>
      <c r="E101" s="58">
        <v>1</v>
      </c>
      <c r="F101" s="58">
        <v>2</v>
      </c>
      <c r="G101" s="58">
        <v>1</v>
      </c>
      <c r="H101" s="58">
        <v>25</v>
      </c>
      <c r="I101" s="252" t="s">
        <v>3697</v>
      </c>
      <c r="J101" s="252" t="s">
        <v>4225</v>
      </c>
      <c r="K101" s="58" t="s">
        <v>3687</v>
      </c>
      <c r="L101" s="58">
        <v>0</v>
      </c>
      <c r="M101" s="58">
        <v>4</v>
      </c>
      <c r="N101" s="58">
        <v>1870</v>
      </c>
      <c r="O101" s="58">
        <v>30</v>
      </c>
      <c r="P101" s="58" t="s">
        <v>522</v>
      </c>
      <c r="Q101" s="58">
        <v>21</v>
      </c>
      <c r="R101" s="58">
        <v>6</v>
      </c>
      <c r="S101" s="58">
        <v>6</v>
      </c>
      <c r="T101" s="58">
        <v>2</v>
      </c>
      <c r="U101" s="58" t="s">
        <v>522</v>
      </c>
    </row>
    <row r="102" spans="1:21" x14ac:dyDescent="0.3">
      <c r="A102" t="str">
        <f t="shared" si="4"/>
        <v/>
      </c>
      <c r="B102" s="24" t="s">
        <v>4220</v>
      </c>
      <c r="C102" s="61" t="s">
        <v>475</v>
      </c>
      <c r="D102" s="58" t="s">
        <v>4221</v>
      </c>
      <c r="E102" s="58">
        <v>1</v>
      </c>
      <c r="F102" s="58">
        <v>2</v>
      </c>
      <c r="G102" s="58">
        <v>1</v>
      </c>
      <c r="H102" s="58">
        <v>25</v>
      </c>
      <c r="I102" s="252" t="s">
        <v>3697</v>
      </c>
      <c r="J102" s="252" t="s">
        <v>500</v>
      </c>
      <c r="K102" s="58" t="s">
        <v>1357</v>
      </c>
      <c r="L102" s="58">
        <v>0</v>
      </c>
      <c r="M102" s="58">
        <v>4</v>
      </c>
      <c r="N102" s="58">
        <v>1867</v>
      </c>
      <c r="O102" s="58">
        <v>40</v>
      </c>
      <c r="P102" s="58" t="s">
        <v>522</v>
      </c>
      <c r="Q102" s="58">
        <v>21</v>
      </c>
      <c r="R102" s="58">
        <v>6</v>
      </c>
      <c r="S102" s="58">
        <v>6</v>
      </c>
      <c r="T102" s="58">
        <v>2</v>
      </c>
      <c r="U102" s="58" t="s">
        <v>512</v>
      </c>
    </row>
    <row r="103" spans="1:21" x14ac:dyDescent="0.3">
      <c r="A103" t="str">
        <f t="shared" si="4"/>
        <v/>
      </c>
      <c r="B103" s="24" t="s">
        <v>4223</v>
      </c>
      <c r="C103" s="61" t="s">
        <v>475</v>
      </c>
      <c r="D103" s="58" t="s">
        <v>381</v>
      </c>
      <c r="E103" s="58">
        <v>1</v>
      </c>
      <c r="F103" s="58">
        <v>2</v>
      </c>
      <c r="G103" s="58">
        <v>1</v>
      </c>
      <c r="H103" s="58">
        <v>25</v>
      </c>
      <c r="I103" s="252" t="s">
        <v>3688</v>
      </c>
      <c r="J103" s="252" t="s">
        <v>3770</v>
      </c>
      <c r="K103" s="58" t="s">
        <v>3725</v>
      </c>
      <c r="L103" s="58">
        <v>0</v>
      </c>
      <c r="M103" s="58">
        <v>4</v>
      </c>
      <c r="N103" s="58">
        <v>1871</v>
      </c>
      <c r="O103" s="58">
        <v>25</v>
      </c>
      <c r="P103" s="58" t="s">
        <v>522</v>
      </c>
      <c r="Q103" s="58">
        <v>21</v>
      </c>
      <c r="R103" s="58">
        <v>6</v>
      </c>
      <c r="S103" s="58">
        <v>6</v>
      </c>
      <c r="T103" s="58">
        <v>2</v>
      </c>
      <c r="U103" s="58" t="s">
        <v>512</v>
      </c>
    </row>
    <row r="104" spans="1:21" x14ac:dyDescent="0.3">
      <c r="A104" t="str">
        <f t="shared" si="4"/>
        <v/>
      </c>
      <c r="B104" s="24" t="s">
        <v>3703</v>
      </c>
      <c r="C104" s="61" t="s">
        <v>475</v>
      </c>
      <c r="D104" s="58" t="s">
        <v>509</v>
      </c>
      <c r="E104" s="58">
        <v>1</v>
      </c>
      <c r="F104" s="58">
        <v>2</v>
      </c>
      <c r="G104" s="58">
        <v>1</v>
      </c>
      <c r="H104" s="58">
        <v>25</v>
      </c>
      <c r="I104" s="252" t="s">
        <v>3697</v>
      </c>
      <c r="J104" s="252" t="s">
        <v>3773</v>
      </c>
      <c r="K104" s="58" t="s">
        <v>3687</v>
      </c>
      <c r="L104" s="58">
        <v>-1</v>
      </c>
      <c r="M104" s="58">
        <v>6</v>
      </c>
      <c r="N104" s="58">
        <v>1867</v>
      </c>
      <c r="O104" s="58">
        <v>25</v>
      </c>
      <c r="P104" s="58" t="s">
        <v>522</v>
      </c>
      <c r="Q104" s="58">
        <v>21</v>
      </c>
      <c r="R104" s="58">
        <v>4.5</v>
      </c>
      <c r="S104" s="58">
        <v>0</v>
      </c>
      <c r="T104" s="58">
        <v>2</v>
      </c>
      <c r="U104" s="58" t="s">
        <v>3696</v>
      </c>
    </row>
    <row r="105" spans="1:21" x14ac:dyDescent="0.3">
      <c r="A105" t="str">
        <f t="shared" si="4"/>
        <v/>
      </c>
      <c r="B105" s="24" t="s">
        <v>481</v>
      </c>
      <c r="C105" s="61" t="s">
        <v>475</v>
      </c>
      <c r="D105" s="58" t="s">
        <v>510</v>
      </c>
      <c r="E105" s="58">
        <v>2</v>
      </c>
      <c r="F105" s="58">
        <v>1</v>
      </c>
      <c r="G105" s="58">
        <v>1</v>
      </c>
      <c r="H105" s="58">
        <v>20</v>
      </c>
      <c r="I105" s="252" t="s">
        <v>3688</v>
      </c>
      <c r="J105" s="252" t="s">
        <v>3770</v>
      </c>
      <c r="K105" s="58" t="s">
        <v>3725</v>
      </c>
      <c r="L105" s="58">
        <v>0</v>
      </c>
      <c r="M105" s="58">
        <v>4</v>
      </c>
      <c r="N105" s="58">
        <v>1859</v>
      </c>
      <c r="O105" s="58">
        <v>19</v>
      </c>
      <c r="P105" s="58" t="s">
        <v>522</v>
      </c>
      <c r="Q105" s="58">
        <v>21</v>
      </c>
      <c r="R105" s="58">
        <v>5</v>
      </c>
      <c r="S105" s="58">
        <v>8</v>
      </c>
      <c r="T105" s="58">
        <v>2</v>
      </c>
      <c r="U105" s="58" t="s">
        <v>504</v>
      </c>
    </row>
    <row r="106" spans="1:21" x14ac:dyDescent="0.3">
      <c r="A106" t="str">
        <f t="shared" si="4"/>
        <v/>
      </c>
      <c r="B106" s="24" t="s">
        <v>482</v>
      </c>
      <c r="C106" s="61" t="s">
        <v>475</v>
      </c>
      <c r="D106" s="58" t="s">
        <v>511</v>
      </c>
      <c r="E106" s="58">
        <v>1</v>
      </c>
      <c r="F106" s="58">
        <v>2</v>
      </c>
      <c r="G106" s="58">
        <v>1</v>
      </c>
      <c r="H106" s="58">
        <v>20</v>
      </c>
      <c r="I106" s="252" t="s">
        <v>3688</v>
      </c>
      <c r="J106" s="252" t="s">
        <v>3774</v>
      </c>
      <c r="K106" s="58" t="s">
        <v>3727</v>
      </c>
      <c r="L106" s="58">
        <v>0</v>
      </c>
      <c r="M106" s="58">
        <v>4</v>
      </c>
      <c r="N106" s="58">
        <v>1869</v>
      </c>
      <c r="O106" s="58">
        <v>20</v>
      </c>
      <c r="P106" s="58" t="s">
        <v>522</v>
      </c>
      <c r="Q106" s="58">
        <v>21</v>
      </c>
      <c r="R106" s="58">
        <v>5</v>
      </c>
      <c r="S106" s="58">
        <v>6</v>
      </c>
      <c r="T106" s="58">
        <v>2</v>
      </c>
      <c r="U106" s="58" t="s">
        <v>522</v>
      </c>
    </row>
    <row r="107" spans="1:21" x14ac:dyDescent="0.3">
      <c r="A107" t="str">
        <f t="shared" si="4"/>
        <v/>
      </c>
      <c r="B107" s="24" t="s">
        <v>483</v>
      </c>
      <c r="C107" s="61" t="s">
        <v>475</v>
      </c>
      <c r="D107" s="58" t="s">
        <v>381</v>
      </c>
      <c r="E107" s="58">
        <v>1</v>
      </c>
      <c r="F107" s="58">
        <v>2</v>
      </c>
      <c r="G107" s="58">
        <v>1</v>
      </c>
      <c r="H107" s="58">
        <v>20</v>
      </c>
      <c r="I107" s="252" t="s">
        <v>3688</v>
      </c>
      <c r="J107" s="252" t="s">
        <v>3770</v>
      </c>
      <c r="K107" s="58" t="s">
        <v>3725</v>
      </c>
      <c r="L107" s="58">
        <v>0</v>
      </c>
      <c r="M107" s="58">
        <v>4</v>
      </c>
      <c r="N107" s="58">
        <v>1874</v>
      </c>
      <c r="O107" s="58">
        <v>22</v>
      </c>
      <c r="P107" s="58" t="s">
        <v>522</v>
      </c>
      <c r="Q107" s="58">
        <v>21</v>
      </c>
      <c r="R107" s="58">
        <v>5</v>
      </c>
      <c r="S107" s="58">
        <v>6</v>
      </c>
      <c r="T107" s="58">
        <v>2</v>
      </c>
      <c r="U107" s="58" t="s">
        <v>522</v>
      </c>
    </row>
    <row r="108" spans="1:21" x14ac:dyDescent="0.3">
      <c r="A108" t="str">
        <f t="shared" si="4"/>
        <v/>
      </c>
      <c r="B108" s="24" t="s">
        <v>4231</v>
      </c>
      <c r="C108" s="61" t="s">
        <v>475</v>
      </c>
      <c r="D108" s="58" t="s">
        <v>4232</v>
      </c>
      <c r="E108" s="58">
        <v>1</v>
      </c>
      <c r="F108" s="58">
        <v>2</v>
      </c>
      <c r="G108" s="58">
        <v>1</v>
      </c>
      <c r="H108" s="58">
        <v>20</v>
      </c>
      <c r="I108" s="252" t="s">
        <v>3688</v>
      </c>
      <c r="J108" s="252" t="s">
        <v>4234</v>
      </c>
      <c r="K108" s="58" t="s">
        <v>4235</v>
      </c>
      <c r="L108" s="58">
        <v>0</v>
      </c>
      <c r="M108" s="58">
        <v>4</v>
      </c>
      <c r="N108" s="58">
        <v>1860</v>
      </c>
      <c r="O108" s="58">
        <v>25</v>
      </c>
      <c r="P108" s="58" t="s">
        <v>522</v>
      </c>
      <c r="Q108" s="58">
        <v>21</v>
      </c>
      <c r="R108" s="58">
        <v>6.5</v>
      </c>
      <c r="S108" s="58">
        <v>6</v>
      </c>
      <c r="T108" s="58">
        <v>2</v>
      </c>
      <c r="U108" s="58" t="s">
        <v>522</v>
      </c>
    </row>
    <row r="109" spans="1:21" x14ac:dyDescent="0.3">
      <c r="A109" t="str">
        <f t="shared" si="4"/>
        <v/>
      </c>
      <c r="B109" s="24" t="s">
        <v>4228</v>
      </c>
      <c r="C109" s="61" t="s">
        <v>475</v>
      </c>
      <c r="D109" s="58" t="s">
        <v>4233</v>
      </c>
      <c r="E109" s="58">
        <v>1</v>
      </c>
      <c r="F109" s="58">
        <v>2</v>
      </c>
      <c r="G109" s="58">
        <v>1</v>
      </c>
      <c r="H109" s="58">
        <v>20</v>
      </c>
      <c r="I109" s="252" t="s">
        <v>3688</v>
      </c>
      <c r="J109" s="252" t="s">
        <v>4229</v>
      </c>
      <c r="K109" s="58" t="s">
        <v>4230</v>
      </c>
      <c r="L109" s="58">
        <v>0</v>
      </c>
      <c r="M109" s="58">
        <v>1</v>
      </c>
      <c r="N109" s="58">
        <v>1860</v>
      </c>
      <c r="O109" s="58">
        <v>25</v>
      </c>
      <c r="P109" s="58" t="s">
        <v>522</v>
      </c>
      <c r="Q109" s="58">
        <v>21</v>
      </c>
      <c r="R109" s="58">
        <v>4</v>
      </c>
      <c r="S109" s="58">
        <v>6</v>
      </c>
      <c r="T109" s="58">
        <v>2</v>
      </c>
      <c r="U109" s="58" t="s">
        <v>522</v>
      </c>
    </row>
    <row r="110" spans="1:21" x14ac:dyDescent="0.3">
      <c r="A110" t="str">
        <f t="shared" si="4"/>
        <v/>
      </c>
      <c r="B110" s="24" t="s">
        <v>1098</v>
      </c>
      <c r="C110" s="61" t="s">
        <v>475</v>
      </c>
      <c r="D110" s="58" t="s">
        <v>1099</v>
      </c>
      <c r="E110" s="58">
        <v>12</v>
      </c>
      <c r="F110" s="58">
        <v>2</v>
      </c>
      <c r="G110" s="58">
        <v>1</v>
      </c>
      <c r="H110" s="58">
        <v>20</v>
      </c>
      <c r="I110" s="252" t="s">
        <v>3688</v>
      </c>
      <c r="J110" s="252" t="s">
        <v>3770</v>
      </c>
      <c r="K110" s="58" t="s">
        <v>3725</v>
      </c>
      <c r="L110" s="58">
        <v>0</v>
      </c>
      <c r="M110" s="58">
        <v>4</v>
      </c>
      <c r="N110" s="58">
        <v>1876</v>
      </c>
      <c r="O110" s="58">
        <v>40</v>
      </c>
      <c r="P110" s="58" t="s">
        <v>522</v>
      </c>
      <c r="Q110" s="58">
        <v>21</v>
      </c>
      <c r="R110" s="58">
        <v>5</v>
      </c>
      <c r="S110" s="58">
        <v>6</v>
      </c>
      <c r="T110" s="58">
        <v>2</v>
      </c>
      <c r="U110" s="58" t="s">
        <v>522</v>
      </c>
    </row>
    <row r="111" spans="1:21" x14ac:dyDescent="0.3">
      <c r="A111" t="str">
        <f t="shared" si="4"/>
        <v/>
      </c>
      <c r="B111" s="24" t="s">
        <v>488</v>
      </c>
      <c r="C111" s="61" t="s">
        <v>475</v>
      </c>
      <c r="D111" s="58" t="s">
        <v>515</v>
      </c>
      <c r="E111" s="58">
        <v>1</v>
      </c>
      <c r="F111" s="58">
        <v>2</v>
      </c>
      <c r="G111" s="58">
        <v>1</v>
      </c>
      <c r="H111" s="58">
        <v>20</v>
      </c>
      <c r="I111" s="252" t="s">
        <v>3688</v>
      </c>
      <c r="J111" s="252" t="s">
        <v>500</v>
      </c>
      <c r="K111" s="58" t="s">
        <v>500</v>
      </c>
      <c r="L111" s="58">
        <v>0</v>
      </c>
      <c r="M111" s="58">
        <v>4</v>
      </c>
      <c r="N111" s="58">
        <v>1871</v>
      </c>
      <c r="O111" s="58">
        <v>20</v>
      </c>
      <c r="P111" s="58" t="s">
        <v>522</v>
      </c>
      <c r="Q111" s="58">
        <v>21</v>
      </c>
      <c r="R111" s="58">
        <v>5</v>
      </c>
      <c r="S111" s="58">
        <v>6</v>
      </c>
      <c r="T111" s="58">
        <v>2</v>
      </c>
      <c r="U111" s="58" t="s">
        <v>522</v>
      </c>
    </row>
    <row r="112" spans="1:21" x14ac:dyDescent="0.3">
      <c r="A112" t="str">
        <f t="shared" si="4"/>
        <v/>
      </c>
      <c r="B112" s="24" t="s">
        <v>1097</v>
      </c>
      <c r="C112" s="61" t="s">
        <v>475</v>
      </c>
      <c r="D112" s="58" t="s">
        <v>513</v>
      </c>
      <c r="E112" s="58">
        <v>1</v>
      </c>
      <c r="F112" s="58">
        <v>2</v>
      </c>
      <c r="G112" s="58">
        <v>1</v>
      </c>
      <c r="H112" s="58">
        <v>20</v>
      </c>
      <c r="I112" s="252" t="s">
        <v>3688</v>
      </c>
      <c r="J112" s="252" t="s">
        <v>3770</v>
      </c>
      <c r="K112" s="58" t="s">
        <v>3725</v>
      </c>
      <c r="L112" s="58">
        <v>0</v>
      </c>
      <c r="M112" s="58">
        <v>4</v>
      </c>
      <c r="N112" s="58">
        <v>1867</v>
      </c>
      <c r="O112" s="58">
        <v>45</v>
      </c>
      <c r="P112" s="58" t="s">
        <v>522</v>
      </c>
      <c r="Q112" s="58">
        <v>21</v>
      </c>
      <c r="R112" s="58">
        <v>5</v>
      </c>
      <c r="S112" s="58">
        <v>8</v>
      </c>
      <c r="T112" s="58">
        <v>2</v>
      </c>
      <c r="U112" s="58" t="s">
        <v>522</v>
      </c>
    </row>
    <row r="113" spans="1:21" x14ac:dyDescent="0.3">
      <c r="A113" t="str">
        <f t="shared" si="4"/>
        <v/>
      </c>
      <c r="B113" s="24" t="s">
        <v>489</v>
      </c>
      <c r="C113" s="61" t="s">
        <v>475</v>
      </c>
      <c r="D113" s="58" t="s">
        <v>427</v>
      </c>
      <c r="E113" s="58">
        <v>1</v>
      </c>
      <c r="F113" s="58">
        <v>2</v>
      </c>
      <c r="G113" s="58">
        <v>1</v>
      </c>
      <c r="H113" s="58">
        <v>25</v>
      </c>
      <c r="I113" s="252" t="s">
        <v>3688</v>
      </c>
      <c r="J113" s="252" t="s">
        <v>500</v>
      </c>
      <c r="K113" s="58" t="s">
        <v>1357</v>
      </c>
      <c r="L113" s="58">
        <v>0</v>
      </c>
      <c r="M113" s="58">
        <v>4</v>
      </c>
      <c r="N113" s="58">
        <v>1877</v>
      </c>
      <c r="O113" s="58">
        <v>20</v>
      </c>
      <c r="P113" s="58" t="s">
        <v>522</v>
      </c>
      <c r="Q113" s="58">
        <v>21</v>
      </c>
      <c r="R113" s="58">
        <v>5</v>
      </c>
      <c r="S113" s="58">
        <v>8</v>
      </c>
      <c r="T113" s="58">
        <v>2</v>
      </c>
      <c r="U113" s="58" t="s">
        <v>522</v>
      </c>
    </row>
    <row r="114" spans="1:21" x14ac:dyDescent="0.3">
      <c r="A114" t="str">
        <f t="shared" si="4"/>
        <v/>
      </c>
      <c r="B114" s="24" t="s">
        <v>490</v>
      </c>
      <c r="C114" s="61" t="s">
        <v>475</v>
      </c>
      <c r="D114" s="58" t="s">
        <v>509</v>
      </c>
      <c r="E114" s="58">
        <v>1</v>
      </c>
      <c r="F114" s="58">
        <v>2</v>
      </c>
      <c r="G114" s="58">
        <v>1</v>
      </c>
      <c r="H114" s="58">
        <v>20</v>
      </c>
      <c r="I114" s="252" t="s">
        <v>3688</v>
      </c>
      <c r="J114" s="252" t="s">
        <v>3774</v>
      </c>
      <c r="K114" s="58" t="s">
        <v>1357</v>
      </c>
      <c r="L114" s="58">
        <v>0</v>
      </c>
      <c r="M114" s="58">
        <v>4</v>
      </c>
      <c r="N114" s="58">
        <v>1873</v>
      </c>
      <c r="O114" s="58">
        <v>8</v>
      </c>
      <c r="P114" s="58" t="s">
        <v>522</v>
      </c>
      <c r="Q114" s="58">
        <v>21</v>
      </c>
      <c r="R114" s="58">
        <v>4.5</v>
      </c>
      <c r="S114" s="58">
        <v>6</v>
      </c>
      <c r="T114" s="58">
        <v>2</v>
      </c>
      <c r="U114" s="58" t="s">
        <v>504</v>
      </c>
    </row>
    <row r="115" spans="1:21" x14ac:dyDescent="0.3">
      <c r="A115" t="str">
        <f t="shared" si="4"/>
        <v/>
      </c>
      <c r="B115" s="24" t="s">
        <v>4226</v>
      </c>
      <c r="C115" s="61" t="s">
        <v>475</v>
      </c>
      <c r="D115" s="58" t="s">
        <v>513</v>
      </c>
      <c r="E115" s="58">
        <v>1</v>
      </c>
      <c r="F115" s="58">
        <v>2</v>
      </c>
      <c r="G115" s="58">
        <v>1</v>
      </c>
      <c r="H115" s="58">
        <v>20</v>
      </c>
      <c r="I115" s="252" t="s">
        <v>3688</v>
      </c>
      <c r="J115" s="252" t="s">
        <v>3774</v>
      </c>
      <c r="K115" s="58" t="s">
        <v>3727</v>
      </c>
      <c r="L115" s="58">
        <v>0</v>
      </c>
      <c r="M115" s="58">
        <v>4</v>
      </c>
      <c r="N115" s="58">
        <v>1873</v>
      </c>
      <c r="O115" s="58">
        <v>15</v>
      </c>
      <c r="P115" s="58" t="s">
        <v>522</v>
      </c>
      <c r="Q115" s="58">
        <v>21</v>
      </c>
      <c r="R115" s="58">
        <v>4.5</v>
      </c>
      <c r="S115" s="58">
        <v>6</v>
      </c>
      <c r="T115" s="58">
        <v>2</v>
      </c>
      <c r="U115" s="58" t="s">
        <v>522</v>
      </c>
    </row>
    <row r="116" spans="1:21" x14ac:dyDescent="0.3">
      <c r="A116" t="str">
        <f t="shared" si="4"/>
        <v/>
      </c>
      <c r="B116" s="24" t="s">
        <v>4227</v>
      </c>
      <c r="C116" s="61" t="s">
        <v>475</v>
      </c>
      <c r="D116" s="58" t="s">
        <v>513</v>
      </c>
      <c r="E116" s="58">
        <v>1</v>
      </c>
      <c r="F116" s="58">
        <v>2</v>
      </c>
      <c r="G116" s="58">
        <v>1</v>
      </c>
      <c r="H116" s="58">
        <v>20</v>
      </c>
      <c r="I116" s="252" t="s">
        <v>3688</v>
      </c>
      <c r="J116" s="252" t="s">
        <v>3772</v>
      </c>
      <c r="K116" s="58" t="s">
        <v>1357</v>
      </c>
      <c r="L116" s="58">
        <v>0</v>
      </c>
      <c r="M116" s="58">
        <v>4</v>
      </c>
      <c r="N116" s="58">
        <v>1879</v>
      </c>
      <c r="O116" s="58">
        <v>35</v>
      </c>
      <c r="P116" s="58" t="s">
        <v>522</v>
      </c>
      <c r="Q116" s="58">
        <v>21</v>
      </c>
      <c r="R116" s="58">
        <v>4</v>
      </c>
      <c r="S116" s="58">
        <v>6</v>
      </c>
      <c r="T116" s="58">
        <v>2</v>
      </c>
      <c r="U116" s="58" t="s">
        <v>522</v>
      </c>
    </row>
    <row r="117" spans="1:21" x14ac:dyDescent="0.3">
      <c r="A117" t="str">
        <f t="shared" si="4"/>
        <v/>
      </c>
      <c r="B117" s="24" t="s">
        <v>491</v>
      </c>
      <c r="C117" s="61" t="s">
        <v>475</v>
      </c>
      <c r="D117" s="58" t="s">
        <v>508</v>
      </c>
      <c r="E117" s="58">
        <v>1</v>
      </c>
      <c r="F117" s="58">
        <v>2</v>
      </c>
      <c r="G117" s="58">
        <v>1</v>
      </c>
      <c r="H117" s="58">
        <v>10</v>
      </c>
      <c r="I117" s="252" t="s">
        <v>3697</v>
      </c>
      <c r="J117" s="252" t="s">
        <v>3775</v>
      </c>
      <c r="K117" s="58" t="s">
        <v>3725</v>
      </c>
      <c r="L117" s="58">
        <v>0</v>
      </c>
      <c r="M117" s="58">
        <v>6</v>
      </c>
      <c r="N117" s="58">
        <v>1822</v>
      </c>
      <c r="O117" s="58">
        <v>8</v>
      </c>
      <c r="P117" s="58" t="s">
        <v>522</v>
      </c>
      <c r="Q117" s="58">
        <v>21</v>
      </c>
      <c r="R117" s="58">
        <v>6</v>
      </c>
      <c r="S117" s="58">
        <v>8</v>
      </c>
      <c r="T117" s="58">
        <v>2</v>
      </c>
      <c r="U117" s="58" t="s">
        <v>514</v>
      </c>
    </row>
    <row r="118" spans="1:21" x14ac:dyDescent="0.3">
      <c r="A118" t="str">
        <f t="shared" si="4"/>
        <v/>
      </c>
      <c r="B118" s="24" t="s">
        <v>492</v>
      </c>
      <c r="C118" s="61" t="s">
        <v>475</v>
      </c>
      <c r="D118" s="58" t="s">
        <v>508</v>
      </c>
      <c r="E118" s="58">
        <v>1</v>
      </c>
      <c r="F118" s="58">
        <v>2</v>
      </c>
      <c r="G118" s="58">
        <v>1</v>
      </c>
      <c r="H118" s="58">
        <v>10</v>
      </c>
      <c r="I118" s="252" t="s">
        <v>3697</v>
      </c>
      <c r="J118" s="252" t="s">
        <v>3775</v>
      </c>
      <c r="K118" s="58" t="s">
        <v>3725</v>
      </c>
      <c r="L118" s="58">
        <v>0</v>
      </c>
      <c r="M118" s="58">
        <v>6</v>
      </c>
      <c r="N118" s="58">
        <v>1842</v>
      </c>
      <c r="O118" s="58">
        <v>10</v>
      </c>
      <c r="P118" s="58" t="s">
        <v>522</v>
      </c>
      <c r="Q118" s="58">
        <v>21</v>
      </c>
      <c r="R118" s="58">
        <v>5.5</v>
      </c>
      <c r="S118" s="58">
        <v>6</v>
      </c>
      <c r="T118" s="58">
        <v>2</v>
      </c>
      <c r="U118" s="58" t="s">
        <v>514</v>
      </c>
    </row>
    <row r="119" spans="1:21" x14ac:dyDescent="0.3">
      <c r="A119" t="str">
        <f t="shared" si="4"/>
        <v/>
      </c>
      <c r="B119" s="24" t="s">
        <v>493</v>
      </c>
      <c r="C119" s="61" t="s">
        <v>475</v>
      </c>
      <c r="D119" s="58" t="s">
        <v>509</v>
      </c>
      <c r="E119" s="58">
        <v>1</v>
      </c>
      <c r="F119" s="58">
        <v>2</v>
      </c>
      <c r="G119" s="58">
        <v>1</v>
      </c>
      <c r="H119" s="58">
        <v>20</v>
      </c>
      <c r="I119" s="252" t="s">
        <v>3688</v>
      </c>
      <c r="J119" s="252" t="s">
        <v>3774</v>
      </c>
      <c r="K119" s="58" t="s">
        <v>3727</v>
      </c>
      <c r="L119" s="58">
        <v>0</v>
      </c>
      <c r="M119" s="58">
        <v>4</v>
      </c>
      <c r="N119" s="58">
        <v>1855</v>
      </c>
      <c r="O119" s="58">
        <v>15</v>
      </c>
      <c r="P119" s="58" t="s">
        <v>522</v>
      </c>
      <c r="Q119" s="58">
        <v>21</v>
      </c>
      <c r="R119" s="58">
        <v>5.5</v>
      </c>
      <c r="S119" s="58">
        <v>6</v>
      </c>
      <c r="T119" s="58">
        <v>2</v>
      </c>
      <c r="U119" s="58" t="s">
        <v>514</v>
      </c>
    </row>
    <row r="120" spans="1:21" x14ac:dyDescent="0.3">
      <c r="A120" t="str">
        <f t="shared" si="4"/>
        <v/>
      </c>
      <c r="B120" s="24" t="s">
        <v>4222</v>
      </c>
      <c r="C120" s="61" t="s">
        <v>475</v>
      </c>
      <c r="D120" s="58" t="s">
        <v>428</v>
      </c>
      <c r="E120" s="58">
        <v>1</v>
      </c>
      <c r="F120" s="58">
        <v>2</v>
      </c>
      <c r="G120" s="58">
        <v>7</v>
      </c>
      <c r="H120" s="58">
        <v>10</v>
      </c>
      <c r="I120" s="252" t="s">
        <v>3697</v>
      </c>
      <c r="J120" s="252" t="s">
        <v>3762</v>
      </c>
      <c r="K120" s="58" t="s">
        <v>3724</v>
      </c>
      <c r="L120" s="58">
        <v>0</v>
      </c>
      <c r="M120" s="58">
        <v>4</v>
      </c>
      <c r="N120" s="58">
        <v>1810</v>
      </c>
      <c r="O120" s="58">
        <v>20</v>
      </c>
      <c r="P120" s="58" t="s">
        <v>522</v>
      </c>
      <c r="Q120" s="58">
        <v>21</v>
      </c>
      <c r="R120" s="58">
        <v>5</v>
      </c>
      <c r="S120" s="58">
        <v>6</v>
      </c>
      <c r="T120" s="58">
        <v>2</v>
      </c>
      <c r="U120" s="58" t="s">
        <v>522</v>
      </c>
    </row>
    <row r="121" spans="1:21" x14ac:dyDescent="0.3">
      <c r="A121" t="str">
        <f t="shared" si="4"/>
        <v/>
      </c>
      <c r="B121" s="24" t="s">
        <v>494</v>
      </c>
      <c r="C121" s="61" t="s">
        <v>475</v>
      </c>
      <c r="D121" s="58" t="s">
        <v>381</v>
      </c>
      <c r="E121" s="58">
        <v>1</v>
      </c>
      <c r="F121" s="58">
        <v>2</v>
      </c>
      <c r="G121" s="58">
        <v>1</v>
      </c>
      <c r="H121" s="58">
        <v>30</v>
      </c>
      <c r="I121" s="252" t="s">
        <v>3688</v>
      </c>
      <c r="J121" s="252" t="s">
        <v>3770</v>
      </c>
      <c r="K121" s="58" t="s">
        <v>3725</v>
      </c>
      <c r="L121" s="58">
        <v>0</v>
      </c>
      <c r="M121" s="58">
        <v>6</v>
      </c>
      <c r="N121" s="58">
        <v>1857</v>
      </c>
      <c r="O121" s="58">
        <v>120</v>
      </c>
      <c r="P121" s="58" t="s">
        <v>522</v>
      </c>
      <c r="Q121" s="58">
        <v>21</v>
      </c>
      <c r="R121" s="58">
        <v>5.5</v>
      </c>
      <c r="S121" s="58">
        <v>6</v>
      </c>
      <c r="T121" s="58">
        <v>2</v>
      </c>
      <c r="U121" s="58" t="s">
        <v>420</v>
      </c>
    </row>
    <row r="122" spans="1:21" x14ac:dyDescent="0.3">
      <c r="B122" s="24" t="s">
        <v>4865</v>
      </c>
      <c r="C122" s="61" t="s">
        <v>475</v>
      </c>
      <c r="D122" s="58" t="s">
        <v>381</v>
      </c>
      <c r="E122" s="58">
        <v>1</v>
      </c>
      <c r="F122" s="58">
        <v>2</v>
      </c>
      <c r="G122" s="58">
        <v>1</v>
      </c>
      <c r="H122" s="58">
        <v>30</v>
      </c>
      <c r="I122" s="252" t="s">
        <v>3688</v>
      </c>
      <c r="J122" s="252" t="s">
        <v>500</v>
      </c>
      <c r="K122" s="58" t="s">
        <v>3762</v>
      </c>
      <c r="L122" s="58">
        <v>0</v>
      </c>
      <c r="M122" s="58">
        <v>6</v>
      </c>
      <c r="N122" s="58">
        <v>1857</v>
      </c>
      <c r="O122" s="58">
        <v>120</v>
      </c>
      <c r="P122" s="58" t="s">
        <v>522</v>
      </c>
      <c r="Q122" s="58">
        <v>21</v>
      </c>
      <c r="R122" s="58">
        <v>6</v>
      </c>
      <c r="S122" s="58">
        <v>8</v>
      </c>
      <c r="T122" s="58">
        <v>2</v>
      </c>
      <c r="U122" s="58" t="s">
        <v>4866</v>
      </c>
    </row>
    <row r="123" spans="1:21" x14ac:dyDescent="0.3">
      <c r="A123" t="str">
        <f t="shared" si="4"/>
        <v/>
      </c>
      <c r="B123" s="24" t="s">
        <v>495</v>
      </c>
      <c r="C123" s="61" t="s">
        <v>475</v>
      </c>
      <c r="D123" s="58" t="s">
        <v>409</v>
      </c>
      <c r="E123" s="58">
        <v>16</v>
      </c>
      <c r="F123" s="58">
        <v>2</v>
      </c>
      <c r="G123" s="58">
        <v>1</v>
      </c>
      <c r="H123" s="58">
        <v>20</v>
      </c>
      <c r="I123" s="252" t="s">
        <v>3697</v>
      </c>
      <c r="J123" s="252" t="s">
        <v>3770</v>
      </c>
      <c r="K123" s="58" t="s">
        <v>3687</v>
      </c>
      <c r="L123" s="58">
        <v>0</v>
      </c>
      <c r="M123" s="58">
        <v>4</v>
      </c>
      <c r="N123" s="58">
        <v>1866</v>
      </c>
      <c r="O123" s="58">
        <v>20</v>
      </c>
      <c r="P123" s="58" t="s">
        <v>522</v>
      </c>
      <c r="Q123" s="58">
        <v>21</v>
      </c>
      <c r="R123" s="58">
        <v>3.5</v>
      </c>
      <c r="S123" s="58">
        <v>6</v>
      </c>
      <c r="T123" s="58">
        <v>2</v>
      </c>
      <c r="U123" s="58" t="s">
        <v>420</v>
      </c>
    </row>
    <row r="124" spans="1:21" x14ac:dyDescent="0.3">
      <c r="A124" t="str">
        <f t="shared" si="4"/>
        <v/>
      </c>
      <c r="B124" s="24" t="s">
        <v>496</v>
      </c>
      <c r="C124" s="61" t="s">
        <v>475</v>
      </c>
      <c r="D124" s="58" t="s">
        <v>416</v>
      </c>
      <c r="E124" s="58">
        <v>15</v>
      </c>
      <c r="F124" s="58">
        <v>2</v>
      </c>
      <c r="G124" s="58">
        <v>1</v>
      </c>
      <c r="H124" s="58">
        <v>20</v>
      </c>
      <c r="I124" s="252" t="s">
        <v>3688</v>
      </c>
      <c r="J124" s="252" t="s">
        <v>3770</v>
      </c>
      <c r="K124" s="58" t="s">
        <v>3687</v>
      </c>
      <c r="L124" s="58">
        <v>0</v>
      </c>
      <c r="M124" s="58">
        <v>4</v>
      </c>
      <c r="N124" s="58">
        <v>1873</v>
      </c>
      <c r="O124" s="58">
        <v>25</v>
      </c>
      <c r="P124" s="58" t="s">
        <v>522</v>
      </c>
      <c r="Q124" s="58">
        <v>21</v>
      </c>
      <c r="R124" s="58">
        <v>3.5</v>
      </c>
      <c r="S124" s="58">
        <v>6</v>
      </c>
      <c r="T124" s="58">
        <v>2</v>
      </c>
      <c r="U124" s="58" t="s">
        <v>420</v>
      </c>
    </row>
    <row r="125" spans="1:21" x14ac:dyDescent="0.3">
      <c r="A125" t="str">
        <f t="shared" ref="A125:A167" si="5">IF(OR(AnnéeJeu&lt;N125,déForce&lt;S125),"",B125)</f>
        <v/>
      </c>
      <c r="B125" s="24" t="s">
        <v>497</v>
      </c>
      <c r="C125" s="61" t="s">
        <v>475</v>
      </c>
      <c r="D125" s="58" t="s">
        <v>516</v>
      </c>
      <c r="E125" s="58">
        <v>15</v>
      </c>
      <c r="F125" s="58">
        <v>2</v>
      </c>
      <c r="G125" s="58">
        <v>1</v>
      </c>
      <c r="H125" s="58">
        <v>20</v>
      </c>
      <c r="I125" s="252" t="s">
        <v>3688</v>
      </c>
      <c r="J125" s="252" t="s">
        <v>3770</v>
      </c>
      <c r="K125" s="58" t="s">
        <v>3687</v>
      </c>
      <c r="L125" s="58">
        <v>0</v>
      </c>
      <c r="M125" s="58">
        <v>4</v>
      </c>
      <c r="N125" s="58">
        <v>1876</v>
      </c>
      <c r="O125" s="58">
        <v>22</v>
      </c>
      <c r="P125" s="58" t="s">
        <v>522</v>
      </c>
      <c r="Q125" s="58">
        <v>21</v>
      </c>
      <c r="R125" s="58">
        <v>3.5</v>
      </c>
      <c r="S125" s="58">
        <v>0</v>
      </c>
      <c r="T125" s="58">
        <v>2</v>
      </c>
      <c r="U125" s="58" t="s">
        <v>420</v>
      </c>
    </row>
    <row r="126" spans="1:21" x14ac:dyDescent="0.3">
      <c r="A126" t="str">
        <f t="shared" si="5"/>
        <v/>
      </c>
      <c r="B126" s="24" t="s">
        <v>3723</v>
      </c>
      <c r="C126" s="61" t="s">
        <v>74</v>
      </c>
      <c r="D126" s="58" t="s">
        <v>4862</v>
      </c>
      <c r="E126" s="58">
        <v>9</v>
      </c>
      <c r="F126" s="58">
        <v>1</v>
      </c>
      <c r="G126" s="58">
        <v>2</v>
      </c>
      <c r="H126" s="58">
        <v>20</v>
      </c>
      <c r="I126" s="252" t="s">
        <v>3690</v>
      </c>
      <c r="J126" s="252" t="s">
        <v>3770</v>
      </c>
      <c r="K126" s="58" t="s">
        <v>3687</v>
      </c>
      <c r="L126" s="58" t="s">
        <v>522</v>
      </c>
      <c r="M126" s="58" t="s">
        <v>524</v>
      </c>
      <c r="N126" s="58">
        <v>1862</v>
      </c>
      <c r="O126" s="58">
        <v>800</v>
      </c>
      <c r="P126" s="58" t="s">
        <v>522</v>
      </c>
      <c r="Q126" s="58">
        <v>16</v>
      </c>
      <c r="R126" s="58">
        <v>4.5</v>
      </c>
      <c r="S126" s="58">
        <v>8</v>
      </c>
      <c r="T126" s="58">
        <v>2</v>
      </c>
      <c r="U126" s="58" t="s">
        <v>4754</v>
      </c>
    </row>
    <row r="127" spans="1:21" x14ac:dyDescent="0.3">
      <c r="A127" t="str">
        <f t="shared" si="5"/>
        <v/>
      </c>
      <c r="B127" s="24" t="s">
        <v>1336</v>
      </c>
      <c r="C127" s="61" t="s">
        <v>74</v>
      </c>
      <c r="D127" s="58" t="s">
        <v>409</v>
      </c>
      <c r="E127" s="58">
        <v>30</v>
      </c>
      <c r="F127" s="58">
        <v>1</v>
      </c>
      <c r="G127" s="58">
        <v>3</v>
      </c>
      <c r="H127" s="58">
        <v>20</v>
      </c>
      <c r="I127" s="252" t="s">
        <v>3697</v>
      </c>
      <c r="J127" s="252" t="s">
        <v>3762</v>
      </c>
      <c r="K127" s="58" t="s">
        <v>3722</v>
      </c>
      <c r="L127" s="58" t="s">
        <v>522</v>
      </c>
      <c r="M127" s="58" t="s">
        <v>524</v>
      </c>
      <c r="N127" s="58">
        <v>1862</v>
      </c>
      <c r="O127" s="58">
        <v>3000</v>
      </c>
      <c r="P127" s="58" t="s">
        <v>522</v>
      </c>
      <c r="Q127" s="58">
        <v>16</v>
      </c>
      <c r="R127" s="58">
        <v>7.5</v>
      </c>
      <c r="S127" s="58">
        <v>8</v>
      </c>
      <c r="T127" s="58" t="s">
        <v>522</v>
      </c>
      <c r="U127" s="58" t="s">
        <v>522</v>
      </c>
    </row>
    <row r="128" spans="1:21" x14ac:dyDescent="0.3">
      <c r="A128" t="str">
        <f t="shared" si="5"/>
        <v/>
      </c>
      <c r="B128" s="24" t="s">
        <v>1339</v>
      </c>
      <c r="C128" s="61" t="s">
        <v>74</v>
      </c>
      <c r="D128" s="58">
        <v>12</v>
      </c>
      <c r="E128" s="58">
        <v>90</v>
      </c>
      <c r="F128" s="58">
        <v>1</v>
      </c>
      <c r="G128" s="58">
        <v>6</v>
      </c>
      <c r="H128" s="58">
        <v>20</v>
      </c>
      <c r="I128" s="252" t="s">
        <v>3688</v>
      </c>
      <c r="J128" s="252" t="s">
        <v>3762</v>
      </c>
      <c r="K128" s="58" t="s">
        <v>3724</v>
      </c>
      <c r="L128" s="58" t="s">
        <v>522</v>
      </c>
      <c r="M128" s="58" t="s">
        <v>524</v>
      </c>
      <c r="N128" s="58">
        <v>1863</v>
      </c>
      <c r="O128" s="58">
        <v>5000</v>
      </c>
      <c r="P128" s="58" t="s">
        <v>522</v>
      </c>
      <c r="Q128" s="58">
        <v>21</v>
      </c>
      <c r="R128" s="58">
        <v>35</v>
      </c>
      <c r="S128" s="58">
        <v>0</v>
      </c>
      <c r="T128" s="58" t="s">
        <v>522</v>
      </c>
      <c r="U128" s="58" t="s">
        <v>522</v>
      </c>
    </row>
    <row r="129" spans="1:21" x14ac:dyDescent="0.3">
      <c r="A129" t="str">
        <f t="shared" si="5"/>
        <v/>
      </c>
      <c r="B129" s="24" t="s">
        <v>520</v>
      </c>
      <c r="C129" s="61" t="s">
        <v>74</v>
      </c>
      <c r="D129" s="58" t="s">
        <v>409</v>
      </c>
      <c r="E129" s="58">
        <v>100</v>
      </c>
      <c r="F129" s="58">
        <v>1</v>
      </c>
      <c r="G129" s="58">
        <v>3</v>
      </c>
      <c r="H129" s="58">
        <v>20</v>
      </c>
      <c r="I129" s="252" t="s">
        <v>3688</v>
      </c>
      <c r="J129" s="252" t="s">
        <v>3761</v>
      </c>
      <c r="K129" s="58" t="s">
        <v>3687</v>
      </c>
      <c r="L129" s="58" t="s">
        <v>522</v>
      </c>
      <c r="M129" s="58" t="s">
        <v>524</v>
      </c>
      <c r="N129" s="58">
        <v>1862</v>
      </c>
      <c r="O129" s="58">
        <v>1500</v>
      </c>
      <c r="P129" s="58" t="s">
        <v>522</v>
      </c>
      <c r="Q129" s="58">
        <v>16</v>
      </c>
      <c r="R129" s="58">
        <v>20</v>
      </c>
      <c r="S129" s="58">
        <v>0</v>
      </c>
      <c r="T129" s="58">
        <v>2</v>
      </c>
      <c r="U129" s="58" t="s">
        <v>3689</v>
      </c>
    </row>
    <row r="130" spans="1:21" x14ac:dyDescent="0.3">
      <c r="A130" t="str">
        <f t="shared" si="5"/>
        <v/>
      </c>
      <c r="B130" s="24" t="s">
        <v>521</v>
      </c>
      <c r="C130" s="61" t="s">
        <v>74</v>
      </c>
      <c r="D130" s="58" t="s">
        <v>381</v>
      </c>
      <c r="E130" s="58">
        <v>12</v>
      </c>
      <c r="F130" s="58">
        <v>1</v>
      </c>
      <c r="G130" s="58">
        <v>3</v>
      </c>
      <c r="H130" s="58">
        <v>5</v>
      </c>
      <c r="I130" s="252" t="s">
        <v>3697</v>
      </c>
      <c r="J130" s="252" t="s">
        <v>3776</v>
      </c>
      <c r="K130" s="58" t="s">
        <v>3728</v>
      </c>
      <c r="L130" s="58">
        <v>-1</v>
      </c>
      <c r="M130" s="58">
        <v>3</v>
      </c>
      <c r="N130" s="58">
        <v>1863</v>
      </c>
      <c r="O130" s="58">
        <v>800</v>
      </c>
      <c r="P130" s="58" t="s">
        <v>522</v>
      </c>
      <c r="Q130" s="58">
        <v>19</v>
      </c>
      <c r="R130" s="58">
        <v>2.5</v>
      </c>
      <c r="S130" s="58">
        <v>0</v>
      </c>
      <c r="T130" s="58">
        <v>1</v>
      </c>
      <c r="U130" s="58" t="s">
        <v>522</v>
      </c>
    </row>
    <row r="131" spans="1:21" x14ac:dyDescent="0.3">
      <c r="A131" t="str">
        <f t="shared" si="5"/>
        <v/>
      </c>
      <c r="B131" s="24" t="s">
        <v>1338</v>
      </c>
      <c r="C131" s="61" t="s">
        <v>74</v>
      </c>
      <c r="D131" s="58">
        <v>12</v>
      </c>
      <c r="E131" s="58">
        <v>15</v>
      </c>
      <c r="F131" s="58">
        <v>1</v>
      </c>
      <c r="G131" s="58">
        <v>2</v>
      </c>
      <c r="H131" s="58">
        <v>10</v>
      </c>
      <c r="I131" s="252" t="s">
        <v>3697</v>
      </c>
      <c r="J131" s="252" t="s">
        <v>386</v>
      </c>
      <c r="K131" s="58" t="s">
        <v>386</v>
      </c>
      <c r="L131" s="58">
        <v>0</v>
      </c>
      <c r="M131" s="58">
        <v>7</v>
      </c>
      <c r="N131" s="58">
        <v>1863</v>
      </c>
      <c r="O131" s="58">
        <v>4000</v>
      </c>
      <c r="P131" s="58" t="s">
        <v>522</v>
      </c>
      <c r="Q131" s="58">
        <v>15</v>
      </c>
      <c r="R131" s="58">
        <v>8</v>
      </c>
      <c r="S131" s="58">
        <v>0</v>
      </c>
      <c r="T131" s="58" t="s">
        <v>522</v>
      </c>
      <c r="U131" s="58" t="s">
        <v>522</v>
      </c>
    </row>
    <row r="132" spans="1:21" x14ac:dyDescent="0.3">
      <c r="A132" t="str">
        <f t="shared" si="5"/>
        <v/>
      </c>
      <c r="B132" s="24" t="s">
        <v>3941</v>
      </c>
      <c r="C132" s="61" t="s">
        <v>447</v>
      </c>
      <c r="D132" s="58" t="s">
        <v>410</v>
      </c>
      <c r="E132" s="58">
        <v>6</v>
      </c>
      <c r="F132" s="58">
        <v>1</v>
      </c>
      <c r="G132" s="58">
        <v>1</v>
      </c>
      <c r="H132" s="58">
        <v>10</v>
      </c>
      <c r="I132" s="252" t="s">
        <v>3697</v>
      </c>
      <c r="J132" s="252" t="s">
        <v>386</v>
      </c>
      <c r="K132" s="58" t="s">
        <v>386</v>
      </c>
      <c r="L132" s="58">
        <v>0</v>
      </c>
      <c r="M132" s="58">
        <v>3</v>
      </c>
      <c r="N132" s="58">
        <v>1850</v>
      </c>
      <c r="O132" s="58">
        <v>10</v>
      </c>
      <c r="P132" s="58" t="s">
        <v>522</v>
      </c>
      <c r="Q132" s="58">
        <v>21</v>
      </c>
      <c r="R132" s="58">
        <v>1</v>
      </c>
      <c r="S132" s="58">
        <v>0</v>
      </c>
      <c r="T132" s="58">
        <v>1</v>
      </c>
      <c r="U132" s="58" t="s">
        <v>522</v>
      </c>
    </row>
    <row r="133" spans="1:21" x14ac:dyDescent="0.3">
      <c r="A133" t="str">
        <f t="shared" si="5"/>
        <v/>
      </c>
      <c r="B133" s="24" t="s">
        <v>3946</v>
      </c>
      <c r="C133" s="61" t="s">
        <v>447</v>
      </c>
      <c r="D133" s="58" t="s">
        <v>407</v>
      </c>
      <c r="E133" s="58">
        <v>6</v>
      </c>
      <c r="F133" s="58">
        <v>1</v>
      </c>
      <c r="G133" s="58">
        <v>1</v>
      </c>
      <c r="H133" s="58">
        <v>10</v>
      </c>
      <c r="I133" s="252" t="s">
        <v>3697</v>
      </c>
      <c r="J133" s="252" t="s">
        <v>386</v>
      </c>
      <c r="K133" s="58" t="s">
        <v>386</v>
      </c>
      <c r="L133" s="58">
        <v>0</v>
      </c>
      <c r="M133" s="58">
        <v>3</v>
      </c>
      <c r="N133" s="58">
        <v>1855</v>
      </c>
      <c r="O133" s="58">
        <v>15</v>
      </c>
      <c r="P133" s="58" t="s">
        <v>522</v>
      </c>
      <c r="Q133" s="58">
        <v>21</v>
      </c>
      <c r="R133" s="58">
        <v>1</v>
      </c>
      <c r="S133" s="58">
        <v>0</v>
      </c>
      <c r="T133" s="58">
        <v>1</v>
      </c>
      <c r="U133" s="58" t="s">
        <v>522</v>
      </c>
    </row>
    <row r="134" spans="1:21" x14ac:dyDescent="0.3">
      <c r="A134" t="str">
        <f t="shared" si="5"/>
        <v/>
      </c>
      <c r="B134" s="24" t="s">
        <v>3953</v>
      </c>
      <c r="C134" s="61" t="s">
        <v>447</v>
      </c>
      <c r="D134" s="58" t="s">
        <v>409</v>
      </c>
      <c r="E134" s="58">
        <v>6</v>
      </c>
      <c r="F134" s="58">
        <v>1</v>
      </c>
      <c r="G134" s="58">
        <v>1</v>
      </c>
      <c r="H134" s="58">
        <v>10</v>
      </c>
      <c r="I134" s="252" t="s">
        <v>3697</v>
      </c>
      <c r="J134" s="252" t="s">
        <v>3954</v>
      </c>
      <c r="K134" s="58" t="s">
        <v>3954</v>
      </c>
      <c r="L134" s="58">
        <v>0</v>
      </c>
      <c r="M134" s="58">
        <v>3</v>
      </c>
      <c r="N134" s="58">
        <v>1873</v>
      </c>
      <c r="O134" s="58">
        <v>20</v>
      </c>
      <c r="P134" s="58" t="s">
        <v>522</v>
      </c>
      <c r="Q134" s="58">
        <v>21</v>
      </c>
      <c r="R134" s="58">
        <v>1</v>
      </c>
      <c r="S134" s="58">
        <v>0</v>
      </c>
      <c r="T134" s="58">
        <v>1</v>
      </c>
      <c r="U134" s="58" t="s">
        <v>522</v>
      </c>
    </row>
    <row r="135" spans="1:21" x14ac:dyDescent="0.3">
      <c r="A135" t="str">
        <f t="shared" si="5"/>
        <v/>
      </c>
      <c r="B135" s="24" t="s">
        <v>448</v>
      </c>
      <c r="C135" s="61" t="s">
        <v>447</v>
      </c>
      <c r="D135" s="58" t="s">
        <v>449</v>
      </c>
      <c r="E135" s="58">
        <v>6</v>
      </c>
      <c r="F135" s="58">
        <v>1</v>
      </c>
      <c r="G135" s="58">
        <v>1</v>
      </c>
      <c r="H135" s="58">
        <v>10</v>
      </c>
      <c r="I135" s="252" t="s">
        <v>3697</v>
      </c>
      <c r="J135" s="252" t="s">
        <v>3761</v>
      </c>
      <c r="K135" s="58" t="s">
        <v>3779</v>
      </c>
      <c r="L135" s="58">
        <v>0</v>
      </c>
      <c r="M135" s="58">
        <v>3</v>
      </c>
      <c r="N135" s="58">
        <v>1877</v>
      </c>
      <c r="O135" s="58">
        <v>8</v>
      </c>
      <c r="P135" s="58" t="s">
        <v>522</v>
      </c>
      <c r="Q135" s="58">
        <v>21</v>
      </c>
      <c r="R135" s="58">
        <v>1</v>
      </c>
      <c r="S135" s="58">
        <v>0</v>
      </c>
      <c r="T135" s="58">
        <v>1</v>
      </c>
      <c r="U135" s="58" t="s">
        <v>522</v>
      </c>
    </row>
    <row r="136" spans="1:21" x14ac:dyDescent="0.3">
      <c r="A136" t="str">
        <f t="shared" si="5"/>
        <v/>
      </c>
      <c r="B136" s="24" t="s">
        <v>448</v>
      </c>
      <c r="C136" s="61" t="s">
        <v>447</v>
      </c>
      <c r="D136" s="58" t="s">
        <v>416</v>
      </c>
      <c r="E136" s="58">
        <v>6</v>
      </c>
      <c r="F136" s="58">
        <v>1</v>
      </c>
      <c r="G136" s="58">
        <v>1</v>
      </c>
      <c r="H136" s="58">
        <v>10</v>
      </c>
      <c r="I136" s="252" t="s">
        <v>3697</v>
      </c>
      <c r="J136" s="252" t="s">
        <v>386</v>
      </c>
      <c r="K136" s="58" t="s">
        <v>386</v>
      </c>
      <c r="L136" s="58">
        <v>0</v>
      </c>
      <c r="M136" s="58">
        <v>3</v>
      </c>
      <c r="N136" s="58">
        <v>1877</v>
      </c>
      <c r="O136" s="58">
        <v>10</v>
      </c>
      <c r="P136" s="58" t="s">
        <v>522</v>
      </c>
      <c r="Q136" s="58">
        <v>21</v>
      </c>
      <c r="R136" s="58">
        <v>1</v>
      </c>
      <c r="S136" s="58">
        <v>0</v>
      </c>
      <c r="T136" s="58">
        <v>1</v>
      </c>
      <c r="U136" s="58" t="s">
        <v>522</v>
      </c>
    </row>
    <row r="137" spans="1:21" x14ac:dyDescent="0.3">
      <c r="A137" t="str">
        <f t="shared" si="5"/>
        <v/>
      </c>
      <c r="B137" s="24" t="s">
        <v>450</v>
      </c>
      <c r="C137" s="61" t="s">
        <v>447</v>
      </c>
      <c r="D137" s="58" t="s">
        <v>411</v>
      </c>
      <c r="E137" s="58">
        <v>6</v>
      </c>
      <c r="F137" s="58">
        <v>1</v>
      </c>
      <c r="G137" s="58">
        <v>1</v>
      </c>
      <c r="H137" s="58">
        <v>10</v>
      </c>
      <c r="I137" s="252" t="s">
        <v>3697</v>
      </c>
      <c r="J137" s="252" t="s">
        <v>3761</v>
      </c>
      <c r="K137" s="58" t="s">
        <v>3700</v>
      </c>
      <c r="L137" s="58">
        <v>0</v>
      </c>
      <c r="M137" s="58">
        <v>3</v>
      </c>
      <c r="N137" s="58">
        <v>1877</v>
      </c>
      <c r="O137" s="58">
        <v>13</v>
      </c>
      <c r="P137" s="58" t="s">
        <v>522</v>
      </c>
      <c r="Q137" s="58">
        <v>21</v>
      </c>
      <c r="R137" s="58">
        <v>1</v>
      </c>
      <c r="S137" s="58">
        <v>0</v>
      </c>
      <c r="T137" s="58">
        <v>1</v>
      </c>
      <c r="U137" s="58" t="s">
        <v>522</v>
      </c>
    </row>
    <row r="138" spans="1:21" x14ac:dyDescent="0.3">
      <c r="A138" t="str">
        <f t="shared" si="5"/>
        <v/>
      </c>
      <c r="B138" s="24" t="s">
        <v>395</v>
      </c>
      <c r="C138" s="61" t="s">
        <v>447</v>
      </c>
      <c r="D138" s="58" t="s">
        <v>381</v>
      </c>
      <c r="E138" s="58">
        <v>6</v>
      </c>
      <c r="F138" s="58">
        <v>1</v>
      </c>
      <c r="G138" s="58">
        <v>1</v>
      </c>
      <c r="H138" s="58">
        <v>10</v>
      </c>
      <c r="I138" s="252" t="s">
        <v>3697</v>
      </c>
      <c r="J138" s="252" t="s">
        <v>386</v>
      </c>
      <c r="K138" s="58" t="s">
        <v>386</v>
      </c>
      <c r="L138" s="58">
        <v>0</v>
      </c>
      <c r="M138" s="58">
        <v>3</v>
      </c>
      <c r="N138" s="58">
        <v>1873</v>
      </c>
      <c r="O138" s="58">
        <v>15</v>
      </c>
      <c r="P138" s="58" t="s">
        <v>522</v>
      </c>
      <c r="Q138" s="58">
        <v>21</v>
      </c>
      <c r="R138" s="58">
        <v>1</v>
      </c>
      <c r="S138" s="58">
        <v>0</v>
      </c>
      <c r="T138" s="58">
        <v>1</v>
      </c>
      <c r="U138" s="58" t="s">
        <v>522</v>
      </c>
    </row>
    <row r="139" spans="1:21" x14ac:dyDescent="0.3">
      <c r="A139" t="str">
        <f t="shared" si="5"/>
        <v/>
      </c>
      <c r="B139" s="24" t="s">
        <v>451</v>
      </c>
      <c r="C139" s="61" t="s">
        <v>447</v>
      </c>
      <c r="D139" s="58" t="s">
        <v>418</v>
      </c>
      <c r="E139" s="58">
        <v>6</v>
      </c>
      <c r="F139" s="58">
        <v>1</v>
      </c>
      <c r="G139" s="58">
        <v>1</v>
      </c>
      <c r="H139" s="58">
        <v>10</v>
      </c>
      <c r="I139" s="252" t="s">
        <v>3697</v>
      </c>
      <c r="J139" s="252" t="s">
        <v>386</v>
      </c>
      <c r="K139" s="58" t="s">
        <v>386</v>
      </c>
      <c r="L139" s="58">
        <v>0</v>
      </c>
      <c r="M139" s="58">
        <v>3</v>
      </c>
      <c r="N139" s="58">
        <v>1877</v>
      </c>
      <c r="O139" s="58">
        <v>14</v>
      </c>
      <c r="P139" s="58" t="s">
        <v>522</v>
      </c>
      <c r="Q139" s="58">
        <v>21</v>
      </c>
      <c r="R139" s="58">
        <v>1</v>
      </c>
      <c r="S139" s="58">
        <v>0</v>
      </c>
      <c r="T139" s="58">
        <v>1</v>
      </c>
      <c r="U139" s="58" t="s">
        <v>522</v>
      </c>
    </row>
    <row r="140" spans="1:21" x14ac:dyDescent="0.3">
      <c r="A140" t="str">
        <f t="shared" si="5"/>
        <v/>
      </c>
      <c r="B140" s="24" t="s">
        <v>452</v>
      </c>
      <c r="C140" s="61" t="s">
        <v>447</v>
      </c>
      <c r="D140" s="58" t="s">
        <v>385</v>
      </c>
      <c r="E140" s="58">
        <v>5</v>
      </c>
      <c r="F140" s="58">
        <v>1</v>
      </c>
      <c r="G140" s="58">
        <v>1</v>
      </c>
      <c r="H140" s="58">
        <v>10</v>
      </c>
      <c r="I140" s="252" t="s">
        <v>3697</v>
      </c>
      <c r="J140" s="252" t="s">
        <v>386</v>
      </c>
      <c r="K140" s="58" t="s">
        <v>386</v>
      </c>
      <c r="L140" s="58">
        <v>0</v>
      </c>
      <c r="M140" s="58">
        <v>3</v>
      </c>
      <c r="N140" s="58">
        <v>1873</v>
      </c>
      <c r="O140" s="58">
        <v>12</v>
      </c>
      <c r="P140" s="58" t="s">
        <v>522</v>
      </c>
      <c r="Q140" s="58">
        <v>21</v>
      </c>
      <c r="R140" s="58">
        <v>1</v>
      </c>
      <c r="S140" s="58">
        <v>0</v>
      </c>
      <c r="T140" s="58">
        <v>1</v>
      </c>
      <c r="U140" s="58" t="s">
        <v>522</v>
      </c>
    </row>
    <row r="141" spans="1:21" x14ac:dyDescent="0.3">
      <c r="A141" t="str">
        <f t="shared" si="5"/>
        <v/>
      </c>
      <c r="B141" s="24" t="s">
        <v>3938</v>
      </c>
      <c r="C141" s="61" t="s">
        <v>447</v>
      </c>
      <c r="D141" s="58" t="s">
        <v>409</v>
      </c>
      <c r="E141" s="58">
        <v>5</v>
      </c>
      <c r="F141" s="58">
        <v>1</v>
      </c>
      <c r="G141" s="58">
        <v>1</v>
      </c>
      <c r="H141" s="58">
        <v>10</v>
      </c>
      <c r="I141" s="252" t="s">
        <v>3697</v>
      </c>
      <c r="J141" s="252" t="s">
        <v>386</v>
      </c>
      <c r="K141" s="58" t="s">
        <v>386</v>
      </c>
      <c r="L141" s="58">
        <v>0</v>
      </c>
      <c r="M141" s="58">
        <v>3</v>
      </c>
      <c r="N141" s="58">
        <v>1851</v>
      </c>
      <c r="O141" s="58">
        <v>16</v>
      </c>
      <c r="P141" s="58" t="s">
        <v>522</v>
      </c>
      <c r="Q141" s="58">
        <v>21</v>
      </c>
      <c r="R141" s="58">
        <v>1</v>
      </c>
      <c r="S141" s="58">
        <v>0</v>
      </c>
      <c r="T141" s="58">
        <v>1</v>
      </c>
      <c r="U141" s="58" t="s">
        <v>504</v>
      </c>
    </row>
    <row r="142" spans="1:21" x14ac:dyDescent="0.3">
      <c r="A142" t="str">
        <f t="shared" si="5"/>
        <v/>
      </c>
      <c r="B142" s="24" t="s">
        <v>3951</v>
      </c>
      <c r="C142" s="61" t="s">
        <v>447</v>
      </c>
      <c r="D142" s="58" t="s">
        <v>381</v>
      </c>
      <c r="E142" s="58">
        <v>5</v>
      </c>
      <c r="F142" s="58">
        <v>1</v>
      </c>
      <c r="G142" s="58">
        <v>1</v>
      </c>
      <c r="H142" s="58">
        <v>10</v>
      </c>
      <c r="I142" s="252" t="s">
        <v>3697</v>
      </c>
      <c r="J142" s="252" t="s">
        <v>386</v>
      </c>
      <c r="K142" s="58" t="s">
        <v>386</v>
      </c>
      <c r="L142" s="58">
        <v>0</v>
      </c>
      <c r="M142" s="58">
        <v>3</v>
      </c>
      <c r="N142" s="58">
        <v>1866</v>
      </c>
      <c r="O142" s="58">
        <v>16</v>
      </c>
      <c r="P142" s="58" t="s">
        <v>522</v>
      </c>
      <c r="Q142" s="58">
        <v>21</v>
      </c>
      <c r="R142" s="58">
        <v>1</v>
      </c>
      <c r="S142" s="58">
        <v>0</v>
      </c>
      <c r="T142" s="58">
        <v>1</v>
      </c>
      <c r="U142" s="58" t="s">
        <v>522</v>
      </c>
    </row>
    <row r="143" spans="1:21" x14ac:dyDescent="0.3">
      <c r="A143" t="str">
        <f t="shared" si="5"/>
        <v/>
      </c>
      <c r="B143" s="24" t="s">
        <v>3955</v>
      </c>
      <c r="C143" s="61" t="s">
        <v>447</v>
      </c>
      <c r="D143" s="58" t="s">
        <v>381</v>
      </c>
      <c r="E143" s="58">
        <v>6</v>
      </c>
      <c r="F143" s="58">
        <v>1</v>
      </c>
      <c r="G143" s="58">
        <v>1</v>
      </c>
      <c r="H143" s="58">
        <v>10</v>
      </c>
      <c r="I143" s="252" t="s">
        <v>3697</v>
      </c>
      <c r="J143" s="252" t="s">
        <v>386</v>
      </c>
      <c r="K143" s="58" t="s">
        <v>386</v>
      </c>
      <c r="L143" s="58">
        <v>0</v>
      </c>
      <c r="M143" s="58">
        <v>3</v>
      </c>
      <c r="N143" s="58">
        <v>1876</v>
      </c>
      <c r="O143" s="58">
        <v>16</v>
      </c>
      <c r="P143" s="58" t="s">
        <v>522</v>
      </c>
      <c r="Q143" s="58">
        <v>21</v>
      </c>
      <c r="R143" s="58">
        <v>1</v>
      </c>
      <c r="S143" s="58">
        <v>0</v>
      </c>
      <c r="T143" s="58">
        <v>1</v>
      </c>
      <c r="U143" s="58" t="s">
        <v>522</v>
      </c>
    </row>
    <row r="144" spans="1:21" x14ac:dyDescent="0.3">
      <c r="A144" t="str">
        <f t="shared" si="5"/>
        <v/>
      </c>
      <c r="B144" s="24" t="s">
        <v>3940</v>
      </c>
      <c r="C144" s="61" t="s">
        <v>447</v>
      </c>
      <c r="D144" s="58" t="s">
        <v>409</v>
      </c>
      <c r="E144" s="58">
        <v>6</v>
      </c>
      <c r="F144" s="58">
        <v>1</v>
      </c>
      <c r="G144" s="58">
        <v>1</v>
      </c>
      <c r="H144" s="58">
        <v>10</v>
      </c>
      <c r="I144" s="252" t="s">
        <v>3697</v>
      </c>
      <c r="J144" s="252" t="s">
        <v>386</v>
      </c>
      <c r="K144" s="58" t="s">
        <v>386</v>
      </c>
      <c r="L144" s="58">
        <v>0</v>
      </c>
      <c r="M144" s="58">
        <v>3</v>
      </c>
      <c r="N144" s="58">
        <v>1851</v>
      </c>
      <c r="O144" s="58">
        <v>16</v>
      </c>
      <c r="P144" s="58" t="s">
        <v>522</v>
      </c>
      <c r="Q144" s="58">
        <v>21</v>
      </c>
      <c r="R144" s="58">
        <v>1</v>
      </c>
      <c r="S144" s="58">
        <v>0</v>
      </c>
      <c r="T144" s="58">
        <v>1</v>
      </c>
      <c r="U144" s="58" t="s">
        <v>522</v>
      </c>
    </row>
    <row r="145" spans="1:21" x14ac:dyDescent="0.3">
      <c r="A145" t="str">
        <f t="shared" si="5"/>
        <v/>
      </c>
      <c r="B145" s="24" t="s">
        <v>453</v>
      </c>
      <c r="C145" s="61" t="s">
        <v>447</v>
      </c>
      <c r="D145" s="58" t="s">
        <v>443</v>
      </c>
      <c r="E145" s="58">
        <v>6</v>
      </c>
      <c r="F145" s="58">
        <v>1</v>
      </c>
      <c r="G145" s="58">
        <v>1</v>
      </c>
      <c r="H145" s="58">
        <v>10</v>
      </c>
      <c r="I145" s="252" t="s">
        <v>3697</v>
      </c>
      <c r="J145" s="252" t="s">
        <v>386</v>
      </c>
      <c r="K145" s="58" t="s">
        <v>386</v>
      </c>
      <c r="L145" s="58">
        <v>0</v>
      </c>
      <c r="M145" s="58">
        <v>2</v>
      </c>
      <c r="N145" s="58">
        <v>1877</v>
      </c>
      <c r="O145" s="58">
        <v>18</v>
      </c>
      <c r="P145" s="58" t="s">
        <v>522</v>
      </c>
      <c r="Q145" s="58">
        <v>21</v>
      </c>
      <c r="R145" s="58">
        <v>1</v>
      </c>
      <c r="S145" s="58">
        <v>0</v>
      </c>
      <c r="T145" s="58">
        <v>1</v>
      </c>
      <c r="U145" s="58" t="s">
        <v>522</v>
      </c>
    </row>
    <row r="146" spans="1:21" x14ac:dyDescent="0.3">
      <c r="A146" t="str">
        <f t="shared" si="5"/>
        <v/>
      </c>
      <c r="B146" s="24" t="s">
        <v>454</v>
      </c>
      <c r="C146" s="61" t="s">
        <v>447</v>
      </c>
      <c r="D146" s="58" t="s">
        <v>409</v>
      </c>
      <c r="E146" s="58">
        <v>6</v>
      </c>
      <c r="F146" s="58">
        <v>1</v>
      </c>
      <c r="G146" s="58">
        <v>1</v>
      </c>
      <c r="H146" s="58">
        <v>10</v>
      </c>
      <c r="I146" s="252" t="s">
        <v>3697</v>
      </c>
      <c r="J146" s="252" t="s">
        <v>3761</v>
      </c>
      <c r="K146" s="58" t="s">
        <v>3700</v>
      </c>
      <c r="L146" s="58">
        <v>0</v>
      </c>
      <c r="M146" s="58">
        <v>2</v>
      </c>
      <c r="N146" s="58">
        <v>1861</v>
      </c>
      <c r="O146" s="58">
        <v>14</v>
      </c>
      <c r="P146" s="58" t="s">
        <v>522</v>
      </c>
      <c r="Q146" s="58">
        <v>21</v>
      </c>
      <c r="R146" s="58">
        <v>1</v>
      </c>
      <c r="S146" s="58">
        <v>0</v>
      </c>
      <c r="T146" s="58">
        <v>1</v>
      </c>
      <c r="U146" s="58" t="s">
        <v>522</v>
      </c>
    </row>
    <row r="147" spans="1:21" x14ac:dyDescent="0.3">
      <c r="A147" t="str">
        <f t="shared" si="5"/>
        <v/>
      </c>
      <c r="B147" s="24" t="s">
        <v>3947</v>
      </c>
      <c r="C147" s="61" t="s">
        <v>447</v>
      </c>
      <c r="D147" s="58" t="s">
        <v>381</v>
      </c>
      <c r="E147" s="58">
        <v>6</v>
      </c>
      <c r="F147" s="58">
        <v>1</v>
      </c>
      <c r="G147" s="58">
        <v>1</v>
      </c>
      <c r="H147" s="58">
        <v>10</v>
      </c>
      <c r="I147" s="252" t="s">
        <v>3697</v>
      </c>
      <c r="J147" s="252" t="s">
        <v>386</v>
      </c>
      <c r="K147" s="58" t="s">
        <v>386</v>
      </c>
      <c r="L147" s="58">
        <v>0</v>
      </c>
      <c r="M147" s="58">
        <v>2</v>
      </c>
      <c r="N147" s="58">
        <v>1859</v>
      </c>
      <c r="O147" s="58">
        <v>15</v>
      </c>
      <c r="P147" s="58" t="s">
        <v>522</v>
      </c>
      <c r="Q147" s="58">
        <v>21</v>
      </c>
      <c r="R147" s="58">
        <v>1</v>
      </c>
      <c r="S147" s="58">
        <v>0</v>
      </c>
      <c r="T147" s="58">
        <v>1</v>
      </c>
      <c r="U147" s="58" t="s">
        <v>522</v>
      </c>
    </row>
    <row r="148" spans="1:21" x14ac:dyDescent="0.3">
      <c r="B148" s="24" t="s">
        <v>3950</v>
      </c>
      <c r="C148" s="61" t="s">
        <v>447</v>
      </c>
      <c r="D148" s="58" t="s">
        <v>409</v>
      </c>
      <c r="E148" s="58">
        <v>6</v>
      </c>
      <c r="F148" s="58">
        <v>1</v>
      </c>
      <c r="G148" s="58">
        <v>1</v>
      </c>
      <c r="H148" s="58">
        <v>10</v>
      </c>
      <c r="I148" s="252" t="s">
        <v>3697</v>
      </c>
      <c r="J148" s="252" t="s">
        <v>386</v>
      </c>
      <c r="K148" s="58" t="s">
        <v>386</v>
      </c>
      <c r="L148" s="58">
        <v>0</v>
      </c>
      <c r="M148" s="58">
        <v>2</v>
      </c>
      <c r="N148" s="58">
        <v>1860</v>
      </c>
      <c r="O148" s="58">
        <v>25</v>
      </c>
      <c r="P148" s="58" t="s">
        <v>522</v>
      </c>
      <c r="Q148" s="58">
        <v>21</v>
      </c>
      <c r="R148" s="58">
        <v>1</v>
      </c>
      <c r="S148" s="58">
        <v>0</v>
      </c>
      <c r="T148" s="58">
        <v>1</v>
      </c>
      <c r="U148" s="58" t="s">
        <v>504</v>
      </c>
    </row>
    <row r="149" spans="1:21" x14ac:dyDescent="0.3">
      <c r="A149" t="str">
        <f t="shared" si="5"/>
        <v/>
      </c>
      <c r="B149" s="24" t="s">
        <v>432</v>
      </c>
      <c r="C149" s="61" t="s">
        <v>447</v>
      </c>
      <c r="D149" s="58" t="s">
        <v>411</v>
      </c>
      <c r="E149" s="58">
        <v>5</v>
      </c>
      <c r="F149" s="58">
        <v>2</v>
      </c>
      <c r="G149" s="58">
        <v>1</v>
      </c>
      <c r="H149" s="58">
        <v>10</v>
      </c>
      <c r="I149" s="252" t="s">
        <v>3697</v>
      </c>
      <c r="J149" s="252" t="s">
        <v>3761</v>
      </c>
      <c r="K149" s="58" t="s">
        <v>3779</v>
      </c>
      <c r="L149" s="58">
        <v>1</v>
      </c>
      <c r="M149" s="58">
        <v>2</v>
      </c>
      <c r="N149" s="58">
        <v>1863</v>
      </c>
      <c r="O149" s="58">
        <v>11</v>
      </c>
      <c r="P149" s="58" t="s">
        <v>522</v>
      </c>
      <c r="Q149" s="58">
        <v>21</v>
      </c>
      <c r="R149" s="58">
        <v>1</v>
      </c>
      <c r="S149" s="58">
        <v>0</v>
      </c>
      <c r="T149" s="58">
        <v>1</v>
      </c>
      <c r="U149" s="58" t="s">
        <v>504</v>
      </c>
    </row>
    <row r="150" spans="1:21" x14ac:dyDescent="0.3">
      <c r="A150" t="str">
        <f t="shared" si="5"/>
        <v/>
      </c>
      <c r="B150" s="24" t="s">
        <v>455</v>
      </c>
      <c r="C150" s="61" t="s">
        <v>447</v>
      </c>
      <c r="D150" s="58" t="s">
        <v>409</v>
      </c>
      <c r="E150" s="58">
        <v>6</v>
      </c>
      <c r="F150" s="58">
        <v>1</v>
      </c>
      <c r="G150" s="58">
        <v>1</v>
      </c>
      <c r="H150" s="58">
        <v>10</v>
      </c>
      <c r="I150" s="252" t="s">
        <v>3697</v>
      </c>
      <c r="J150" s="252" t="s">
        <v>3761</v>
      </c>
      <c r="K150" s="58" t="s">
        <v>386</v>
      </c>
      <c r="L150" s="58">
        <v>0</v>
      </c>
      <c r="M150" s="58">
        <v>3</v>
      </c>
      <c r="N150" s="58">
        <v>1860</v>
      </c>
      <c r="O150" s="58">
        <v>9</v>
      </c>
      <c r="P150" s="58" t="s">
        <v>522</v>
      </c>
      <c r="Q150" s="58">
        <v>21</v>
      </c>
      <c r="R150" s="58">
        <v>1</v>
      </c>
      <c r="S150" s="58">
        <v>0</v>
      </c>
      <c r="T150" s="58">
        <v>1</v>
      </c>
      <c r="U150" s="58" t="s">
        <v>504</v>
      </c>
    </row>
    <row r="151" spans="1:21" x14ac:dyDescent="0.3">
      <c r="A151" t="str">
        <f>IF(OR(AnnéeJeu&lt;N151,déForce&lt;S151),"",B151)</f>
        <v/>
      </c>
      <c r="B151" s="24" t="s">
        <v>3943</v>
      </c>
      <c r="C151" s="61" t="s">
        <v>447</v>
      </c>
      <c r="D151" s="58" t="s">
        <v>381</v>
      </c>
      <c r="E151" s="58">
        <v>5</v>
      </c>
      <c r="F151" s="58">
        <v>2</v>
      </c>
      <c r="G151" s="58">
        <v>1</v>
      </c>
      <c r="H151" s="58">
        <v>10</v>
      </c>
      <c r="I151" s="252" t="s">
        <v>3697</v>
      </c>
      <c r="J151" s="252" t="s">
        <v>386</v>
      </c>
      <c r="K151" s="58" t="s">
        <v>386</v>
      </c>
      <c r="L151" s="58">
        <v>0</v>
      </c>
      <c r="M151" s="58">
        <v>3</v>
      </c>
      <c r="N151" s="58">
        <v>1853</v>
      </c>
      <c r="O151" s="58">
        <v>15</v>
      </c>
      <c r="P151" s="58" t="s">
        <v>522</v>
      </c>
      <c r="Q151" s="58">
        <v>21</v>
      </c>
      <c r="R151" s="58">
        <v>1</v>
      </c>
      <c r="S151" s="58">
        <v>0</v>
      </c>
      <c r="T151" s="58">
        <v>1</v>
      </c>
      <c r="U151" s="58" t="s">
        <v>504</v>
      </c>
    </row>
    <row r="152" spans="1:21" x14ac:dyDescent="0.3">
      <c r="A152" t="str">
        <f t="shared" si="5"/>
        <v/>
      </c>
      <c r="B152" s="24" t="s">
        <v>456</v>
      </c>
      <c r="C152" s="61" t="s">
        <v>447</v>
      </c>
      <c r="D152" s="58" t="s">
        <v>411</v>
      </c>
      <c r="E152" s="58">
        <v>5</v>
      </c>
      <c r="F152" s="58">
        <v>1</v>
      </c>
      <c r="G152" s="58">
        <v>1</v>
      </c>
      <c r="H152" s="58">
        <v>10</v>
      </c>
      <c r="I152" s="252" t="s">
        <v>3697</v>
      </c>
      <c r="J152" s="252" t="s">
        <v>386</v>
      </c>
      <c r="K152" s="58" t="s">
        <v>386</v>
      </c>
      <c r="L152" s="58">
        <v>0</v>
      </c>
      <c r="M152" s="58">
        <v>3</v>
      </c>
      <c r="N152" s="58">
        <v>1880</v>
      </c>
      <c r="O152" s="58">
        <v>13</v>
      </c>
      <c r="P152" s="58" t="s">
        <v>522</v>
      </c>
      <c r="Q152" s="58">
        <v>21</v>
      </c>
      <c r="R152" s="58">
        <v>1</v>
      </c>
      <c r="S152" s="58">
        <v>0</v>
      </c>
      <c r="T152" s="58">
        <v>1</v>
      </c>
      <c r="U152" s="58" t="s">
        <v>522</v>
      </c>
    </row>
    <row r="153" spans="1:21" x14ac:dyDescent="0.3">
      <c r="A153" t="str">
        <f t="shared" si="5"/>
        <v/>
      </c>
      <c r="B153" s="24" t="s">
        <v>457</v>
      </c>
      <c r="C153" s="61" t="s">
        <v>447</v>
      </c>
      <c r="D153" s="58" t="s">
        <v>403</v>
      </c>
      <c r="E153" s="58">
        <v>6</v>
      </c>
      <c r="F153" s="58">
        <v>1</v>
      </c>
      <c r="G153" s="58">
        <v>1</v>
      </c>
      <c r="H153" s="58">
        <v>10</v>
      </c>
      <c r="I153" s="252" t="s">
        <v>3697</v>
      </c>
      <c r="J153" s="252" t="s">
        <v>3761</v>
      </c>
      <c r="K153" s="58" t="s">
        <v>3700</v>
      </c>
      <c r="L153" s="58">
        <v>0</v>
      </c>
      <c r="M153" s="58">
        <v>3</v>
      </c>
      <c r="N153" s="58">
        <v>1881</v>
      </c>
      <c r="O153" s="58">
        <v>15</v>
      </c>
      <c r="P153" s="58" t="s">
        <v>522</v>
      </c>
      <c r="Q153" s="58">
        <v>21</v>
      </c>
      <c r="R153" s="58">
        <v>1</v>
      </c>
      <c r="S153" s="58">
        <v>0</v>
      </c>
      <c r="T153" s="58">
        <v>1</v>
      </c>
      <c r="U153" s="58" t="s">
        <v>522</v>
      </c>
    </row>
    <row r="154" spans="1:21" x14ac:dyDescent="0.3">
      <c r="A154" t="str">
        <f t="shared" si="5"/>
        <v/>
      </c>
      <c r="B154" s="24" t="s">
        <v>1999</v>
      </c>
      <c r="C154" s="61" t="s">
        <v>447</v>
      </c>
      <c r="D154" s="58" t="s">
        <v>411</v>
      </c>
      <c r="E154" s="58">
        <v>5</v>
      </c>
      <c r="F154" s="58">
        <v>1</v>
      </c>
      <c r="G154" s="58">
        <v>1</v>
      </c>
      <c r="H154" s="58">
        <v>10</v>
      </c>
      <c r="I154" s="252" t="s">
        <v>3697</v>
      </c>
      <c r="J154" s="252" t="s">
        <v>3761</v>
      </c>
      <c r="K154" s="58" t="s">
        <v>3700</v>
      </c>
      <c r="L154" s="58">
        <v>0</v>
      </c>
      <c r="M154" s="58">
        <v>4</v>
      </c>
      <c r="N154" s="58">
        <v>1887</v>
      </c>
      <c r="O154" s="58">
        <v>15</v>
      </c>
      <c r="P154" s="58" t="s">
        <v>522</v>
      </c>
      <c r="Q154" s="58">
        <v>21</v>
      </c>
      <c r="R154" s="58">
        <v>1</v>
      </c>
      <c r="S154" s="58">
        <v>0</v>
      </c>
      <c r="T154" s="58">
        <v>1</v>
      </c>
      <c r="U154" s="58" t="s">
        <v>522</v>
      </c>
    </row>
    <row r="155" spans="1:21" x14ac:dyDescent="0.3">
      <c r="A155" t="str">
        <f t="shared" si="5"/>
        <v/>
      </c>
      <c r="B155" s="24" t="s">
        <v>378</v>
      </c>
      <c r="C155" s="61" t="s">
        <v>398</v>
      </c>
      <c r="D155" s="58" t="s">
        <v>409</v>
      </c>
      <c r="E155" s="58">
        <v>6</v>
      </c>
      <c r="F155" s="58">
        <v>2</v>
      </c>
      <c r="G155" s="58">
        <v>1</v>
      </c>
      <c r="H155" s="58">
        <v>10</v>
      </c>
      <c r="I155" s="252" t="s">
        <v>3697</v>
      </c>
      <c r="J155" s="252" t="s">
        <v>386</v>
      </c>
      <c r="K155" s="58" t="s">
        <v>3700</v>
      </c>
      <c r="L155" s="58">
        <v>0</v>
      </c>
      <c r="M155" s="58">
        <v>3</v>
      </c>
      <c r="N155" s="58">
        <v>1860</v>
      </c>
      <c r="O155" s="58">
        <v>11</v>
      </c>
      <c r="P155" s="58" t="s">
        <v>522</v>
      </c>
      <c r="Q155" s="58">
        <v>21</v>
      </c>
      <c r="R155" s="58">
        <v>1</v>
      </c>
      <c r="S155" s="58">
        <v>0</v>
      </c>
      <c r="T155" s="58">
        <v>1</v>
      </c>
      <c r="U155" s="58" t="s">
        <v>504</v>
      </c>
    </row>
    <row r="156" spans="1:21" x14ac:dyDescent="0.3">
      <c r="A156" t="str">
        <f t="shared" si="5"/>
        <v/>
      </c>
      <c r="B156" s="24" t="s">
        <v>379</v>
      </c>
      <c r="C156" s="61" t="s">
        <v>398</v>
      </c>
      <c r="D156" s="58" t="s">
        <v>409</v>
      </c>
      <c r="E156" s="58">
        <v>6</v>
      </c>
      <c r="F156" s="58">
        <v>2</v>
      </c>
      <c r="G156" s="58">
        <v>1</v>
      </c>
      <c r="H156" s="58">
        <v>10</v>
      </c>
      <c r="I156" s="252" t="s">
        <v>3697</v>
      </c>
      <c r="J156" s="252" t="s">
        <v>3761</v>
      </c>
      <c r="K156" s="58" t="s">
        <v>386</v>
      </c>
      <c r="L156" s="58">
        <v>0</v>
      </c>
      <c r="M156" s="58">
        <v>3</v>
      </c>
      <c r="N156" s="58">
        <v>1862</v>
      </c>
      <c r="O156" s="58">
        <v>13</v>
      </c>
      <c r="P156" s="58" t="s">
        <v>522</v>
      </c>
      <c r="Q156" s="58">
        <v>21</v>
      </c>
      <c r="R156" s="58">
        <v>1</v>
      </c>
      <c r="S156" s="58">
        <v>0</v>
      </c>
      <c r="T156" s="58">
        <v>1</v>
      </c>
      <c r="U156" s="58" t="s">
        <v>522</v>
      </c>
    </row>
    <row r="157" spans="1:21" x14ac:dyDescent="0.3">
      <c r="A157" t="str">
        <f t="shared" si="5"/>
        <v/>
      </c>
      <c r="B157" s="24" t="s">
        <v>380</v>
      </c>
      <c r="C157" s="61" t="s">
        <v>398</v>
      </c>
      <c r="D157" s="58" t="s">
        <v>381</v>
      </c>
      <c r="E157" s="58">
        <v>6</v>
      </c>
      <c r="F157" s="58">
        <v>2</v>
      </c>
      <c r="G157" s="58">
        <v>1</v>
      </c>
      <c r="H157" s="58">
        <v>15</v>
      </c>
      <c r="I157" s="252" t="s">
        <v>3701</v>
      </c>
      <c r="J157" s="252" t="s">
        <v>3761</v>
      </c>
      <c r="K157" s="58" t="s">
        <v>3700</v>
      </c>
      <c r="L157" s="58">
        <v>-2</v>
      </c>
      <c r="M157" s="58">
        <v>4</v>
      </c>
      <c r="N157" s="58">
        <v>1870</v>
      </c>
      <c r="O157" s="58">
        <v>500</v>
      </c>
      <c r="P157" s="58" t="s">
        <v>522</v>
      </c>
      <c r="Q157" s="58">
        <v>21</v>
      </c>
      <c r="R157" s="58">
        <v>1.5</v>
      </c>
      <c r="S157" s="58">
        <v>0</v>
      </c>
      <c r="T157" s="58">
        <v>1</v>
      </c>
      <c r="U157" s="58" t="s">
        <v>522</v>
      </c>
    </row>
    <row r="158" spans="1:21" x14ac:dyDescent="0.3">
      <c r="A158" t="str">
        <f t="shared" si="5"/>
        <v/>
      </c>
      <c r="B158" s="24" t="s">
        <v>3937</v>
      </c>
      <c r="C158" s="61" t="s">
        <v>398</v>
      </c>
      <c r="D158" s="58" t="s">
        <v>394</v>
      </c>
      <c r="E158" s="58">
        <v>6</v>
      </c>
      <c r="F158" s="58">
        <v>2</v>
      </c>
      <c r="G158" s="58">
        <v>1</v>
      </c>
      <c r="H158" s="58">
        <v>10</v>
      </c>
      <c r="I158" s="252" t="s">
        <v>3697</v>
      </c>
      <c r="J158" s="252" t="s">
        <v>386</v>
      </c>
      <c r="K158" s="58" t="s">
        <v>523</v>
      </c>
      <c r="L158" s="58">
        <v>0</v>
      </c>
      <c r="M158" s="58">
        <v>2</v>
      </c>
      <c r="N158" s="58">
        <v>1849</v>
      </c>
      <c r="O158" s="58">
        <v>10</v>
      </c>
      <c r="P158" s="58" t="s">
        <v>522</v>
      </c>
      <c r="Q158" s="58">
        <v>21</v>
      </c>
      <c r="R158" s="58">
        <v>1</v>
      </c>
      <c r="S158" s="58">
        <v>0</v>
      </c>
      <c r="T158" s="58">
        <v>1</v>
      </c>
      <c r="U158" s="58" t="s">
        <v>504</v>
      </c>
    </row>
    <row r="159" spans="1:21" x14ac:dyDescent="0.3">
      <c r="A159" t="str">
        <f t="shared" si="5"/>
        <v/>
      </c>
      <c r="B159" s="24" t="s">
        <v>382</v>
      </c>
      <c r="C159" s="61" t="s">
        <v>398</v>
      </c>
      <c r="D159" s="58" t="s">
        <v>409</v>
      </c>
      <c r="E159" s="58">
        <v>5</v>
      </c>
      <c r="F159" s="58">
        <v>2</v>
      </c>
      <c r="G159" s="58">
        <v>1</v>
      </c>
      <c r="H159" s="58">
        <v>10</v>
      </c>
      <c r="I159" s="252" t="s">
        <v>3697</v>
      </c>
      <c r="J159" s="252" t="s">
        <v>3761</v>
      </c>
      <c r="K159" s="58" t="s">
        <v>3700</v>
      </c>
      <c r="L159" s="58">
        <v>-1</v>
      </c>
      <c r="M159" s="58">
        <v>3</v>
      </c>
      <c r="N159" s="58">
        <v>1848</v>
      </c>
      <c r="O159" s="58">
        <v>12</v>
      </c>
      <c r="P159" s="58" t="s">
        <v>522</v>
      </c>
      <c r="Q159" s="58">
        <v>21</v>
      </c>
      <c r="R159" s="58">
        <v>2</v>
      </c>
      <c r="S159" s="58">
        <v>0</v>
      </c>
      <c r="T159" s="58">
        <v>1</v>
      </c>
      <c r="U159" s="58" t="s">
        <v>504</v>
      </c>
    </row>
    <row r="160" spans="1:21" x14ac:dyDescent="0.3">
      <c r="A160" t="str">
        <f t="shared" si="5"/>
        <v/>
      </c>
      <c r="B160" s="24" t="s">
        <v>383</v>
      </c>
      <c r="C160" s="61" t="s">
        <v>398</v>
      </c>
      <c r="D160" s="58" t="s">
        <v>409</v>
      </c>
      <c r="E160" s="58">
        <v>6</v>
      </c>
      <c r="F160" s="58">
        <v>2</v>
      </c>
      <c r="G160" s="58">
        <v>1</v>
      </c>
      <c r="H160" s="58">
        <v>10</v>
      </c>
      <c r="I160" s="252" t="s">
        <v>3697</v>
      </c>
      <c r="J160" s="252" t="s">
        <v>3761</v>
      </c>
      <c r="K160" s="58" t="s">
        <v>3700</v>
      </c>
      <c r="L160" s="58">
        <v>0</v>
      </c>
      <c r="M160" s="58">
        <v>3</v>
      </c>
      <c r="N160" s="58">
        <v>1858</v>
      </c>
      <c r="O160" s="58">
        <v>13</v>
      </c>
      <c r="P160" s="58" t="s">
        <v>522</v>
      </c>
      <c r="Q160" s="58">
        <v>21</v>
      </c>
      <c r="R160" s="58">
        <v>1</v>
      </c>
      <c r="S160" s="58">
        <v>0</v>
      </c>
      <c r="T160" s="58">
        <v>1</v>
      </c>
      <c r="U160" s="58" t="s">
        <v>504</v>
      </c>
    </row>
    <row r="161" spans="1:21" x14ac:dyDescent="0.3">
      <c r="A161" t="str">
        <f t="shared" si="5"/>
        <v/>
      </c>
      <c r="B161" s="24" t="s">
        <v>3936</v>
      </c>
      <c r="C161" s="61" t="s">
        <v>398</v>
      </c>
      <c r="D161" s="58" t="s">
        <v>385</v>
      </c>
      <c r="E161" s="58">
        <v>6</v>
      </c>
      <c r="F161" s="58">
        <v>2</v>
      </c>
      <c r="G161" s="58">
        <v>1</v>
      </c>
      <c r="H161" s="58">
        <v>10</v>
      </c>
      <c r="I161" s="252" t="s">
        <v>3697</v>
      </c>
      <c r="J161" s="252" t="s">
        <v>3761</v>
      </c>
      <c r="K161" s="58" t="s">
        <v>3700</v>
      </c>
      <c r="L161" s="58">
        <v>0</v>
      </c>
      <c r="M161" s="58">
        <v>3</v>
      </c>
      <c r="N161" s="58">
        <v>1843</v>
      </c>
      <c r="O161" s="58">
        <v>15</v>
      </c>
      <c r="P161" s="58" t="s">
        <v>522</v>
      </c>
      <c r="Q161" s="58">
        <v>21</v>
      </c>
      <c r="R161" s="58">
        <v>1</v>
      </c>
      <c r="S161" s="58">
        <v>0</v>
      </c>
      <c r="T161" s="58">
        <v>1</v>
      </c>
      <c r="U161" s="58" t="s">
        <v>522</v>
      </c>
    </row>
    <row r="162" spans="1:21" x14ac:dyDescent="0.3">
      <c r="A162" t="str">
        <f t="shared" si="5"/>
        <v/>
      </c>
      <c r="B162" s="24" t="s">
        <v>384</v>
      </c>
      <c r="C162" s="61" t="s">
        <v>398</v>
      </c>
      <c r="D162" s="58" t="s">
        <v>385</v>
      </c>
      <c r="E162" s="58">
        <v>6</v>
      </c>
      <c r="F162" s="58">
        <v>2</v>
      </c>
      <c r="G162" s="58">
        <v>1</v>
      </c>
      <c r="H162" s="58">
        <v>10</v>
      </c>
      <c r="I162" s="252" t="s">
        <v>3697</v>
      </c>
      <c r="J162" s="252" t="s">
        <v>386</v>
      </c>
      <c r="K162" s="58" t="s">
        <v>386</v>
      </c>
      <c r="L162" s="58">
        <v>0</v>
      </c>
      <c r="M162" s="58">
        <v>3</v>
      </c>
      <c r="N162" s="58">
        <v>1852</v>
      </c>
      <c r="O162" s="58">
        <v>11</v>
      </c>
      <c r="P162" s="58" t="s">
        <v>522</v>
      </c>
      <c r="Q162" s="58">
        <v>21</v>
      </c>
      <c r="R162" s="58">
        <v>1.5</v>
      </c>
      <c r="S162" s="58">
        <v>0</v>
      </c>
      <c r="T162" s="58">
        <v>1</v>
      </c>
      <c r="U162" s="58" t="s">
        <v>504</v>
      </c>
    </row>
    <row r="163" spans="1:21" x14ac:dyDescent="0.3">
      <c r="A163" t="str">
        <f t="shared" si="5"/>
        <v/>
      </c>
      <c r="B163" s="24" t="s">
        <v>2958</v>
      </c>
      <c r="C163" s="61" t="s">
        <v>398</v>
      </c>
      <c r="D163" s="58" t="s">
        <v>410</v>
      </c>
      <c r="E163" s="58">
        <v>5</v>
      </c>
      <c r="F163" s="58">
        <v>2</v>
      </c>
      <c r="G163" s="58">
        <v>1</v>
      </c>
      <c r="H163" s="58">
        <v>5</v>
      </c>
      <c r="I163" s="252" t="s">
        <v>3697</v>
      </c>
      <c r="J163" s="252" t="s">
        <v>386</v>
      </c>
      <c r="K163" s="58" t="s">
        <v>386</v>
      </c>
      <c r="L163" s="58">
        <v>0</v>
      </c>
      <c r="M163" s="58">
        <v>3</v>
      </c>
      <c r="N163" s="58">
        <v>1874</v>
      </c>
      <c r="O163" s="58">
        <v>8</v>
      </c>
      <c r="P163" s="58" t="s">
        <v>522</v>
      </c>
      <c r="Q163" s="58">
        <v>21</v>
      </c>
      <c r="R163" s="58">
        <v>1</v>
      </c>
      <c r="S163" s="58">
        <v>0</v>
      </c>
      <c r="T163" s="58">
        <v>1</v>
      </c>
      <c r="U163" s="58" t="s">
        <v>522</v>
      </c>
    </row>
    <row r="164" spans="1:21" x14ac:dyDescent="0.3">
      <c r="A164" t="str">
        <f t="shared" si="5"/>
        <v/>
      </c>
      <c r="B164" s="24" t="s">
        <v>2959</v>
      </c>
      <c r="C164" s="61" t="s">
        <v>398</v>
      </c>
      <c r="D164" s="58" t="s">
        <v>411</v>
      </c>
      <c r="E164" s="58">
        <v>5</v>
      </c>
      <c r="F164" s="58">
        <v>2</v>
      </c>
      <c r="G164" s="58">
        <v>1</v>
      </c>
      <c r="H164" s="58">
        <v>5</v>
      </c>
      <c r="I164" s="252" t="s">
        <v>3697</v>
      </c>
      <c r="J164" s="252" t="s">
        <v>386</v>
      </c>
      <c r="K164" s="58" t="s">
        <v>386</v>
      </c>
      <c r="L164" s="58">
        <v>0</v>
      </c>
      <c r="M164" s="58">
        <v>3</v>
      </c>
      <c r="N164" s="58">
        <v>1874</v>
      </c>
      <c r="O164" s="58">
        <v>9</v>
      </c>
      <c r="P164" s="58" t="s">
        <v>522</v>
      </c>
      <c r="Q164" s="58">
        <v>21</v>
      </c>
      <c r="R164" s="58">
        <v>1</v>
      </c>
      <c r="S164" s="58">
        <v>0</v>
      </c>
      <c r="T164" s="58">
        <v>1</v>
      </c>
      <c r="U164" s="58" t="s">
        <v>522</v>
      </c>
    </row>
    <row r="165" spans="1:21" x14ac:dyDescent="0.3">
      <c r="A165" t="str">
        <f t="shared" si="5"/>
        <v/>
      </c>
      <c r="B165" s="24" t="s">
        <v>388</v>
      </c>
      <c r="C165" s="61" t="s">
        <v>398</v>
      </c>
      <c r="D165" s="58" t="s">
        <v>391</v>
      </c>
      <c r="E165" s="58">
        <v>7</v>
      </c>
      <c r="F165" s="58">
        <v>2</v>
      </c>
      <c r="G165" s="58">
        <v>1</v>
      </c>
      <c r="H165" s="58">
        <v>10</v>
      </c>
      <c r="I165" s="252" t="s">
        <v>3697</v>
      </c>
      <c r="J165" s="252" t="s">
        <v>387</v>
      </c>
      <c r="K165" s="58" t="s">
        <v>387</v>
      </c>
      <c r="L165" s="58">
        <v>0</v>
      </c>
      <c r="M165" s="58">
        <v>3</v>
      </c>
      <c r="N165" s="58">
        <v>1860</v>
      </c>
      <c r="O165" s="58">
        <v>8</v>
      </c>
      <c r="P165" s="58" t="s">
        <v>522</v>
      </c>
      <c r="Q165" s="58">
        <v>21</v>
      </c>
      <c r="R165" s="58">
        <v>1</v>
      </c>
      <c r="S165" s="58">
        <v>0</v>
      </c>
      <c r="T165" s="58">
        <v>1</v>
      </c>
      <c r="U165" s="58" t="s">
        <v>522</v>
      </c>
    </row>
    <row r="166" spans="1:21" x14ac:dyDescent="0.3">
      <c r="A166" t="str">
        <f t="shared" si="5"/>
        <v/>
      </c>
      <c r="B166" s="24" t="s">
        <v>389</v>
      </c>
      <c r="C166" s="61" t="s">
        <v>398</v>
      </c>
      <c r="D166" s="58" t="s">
        <v>409</v>
      </c>
      <c r="E166" s="58">
        <v>7</v>
      </c>
      <c r="F166" s="58">
        <v>2</v>
      </c>
      <c r="G166" s="58">
        <v>1</v>
      </c>
      <c r="H166" s="58">
        <v>10</v>
      </c>
      <c r="I166" s="252" t="s">
        <v>3697</v>
      </c>
      <c r="J166" s="252" t="s">
        <v>3761</v>
      </c>
      <c r="K166" s="58" t="s">
        <v>3700</v>
      </c>
      <c r="L166" s="58">
        <v>0</v>
      </c>
      <c r="M166" s="58">
        <v>3</v>
      </c>
      <c r="N166" s="58">
        <v>1871</v>
      </c>
      <c r="O166" s="58">
        <v>13</v>
      </c>
      <c r="P166" s="58" t="s">
        <v>522</v>
      </c>
      <c r="Q166" s="58">
        <v>21</v>
      </c>
      <c r="R166" s="58">
        <v>1</v>
      </c>
      <c r="S166" s="58">
        <v>0</v>
      </c>
      <c r="T166" s="58">
        <v>1</v>
      </c>
      <c r="U166" s="58" t="s">
        <v>522</v>
      </c>
    </row>
    <row r="167" spans="1:21" x14ac:dyDescent="0.3">
      <c r="A167" t="str">
        <f t="shared" si="5"/>
        <v/>
      </c>
      <c r="B167" s="24" t="s">
        <v>390</v>
      </c>
      <c r="C167" s="61" t="s">
        <v>398</v>
      </c>
      <c r="D167" s="58" t="s">
        <v>391</v>
      </c>
      <c r="E167" s="58">
        <v>6</v>
      </c>
      <c r="F167" s="58">
        <v>2</v>
      </c>
      <c r="G167" s="58">
        <v>1</v>
      </c>
      <c r="H167" s="58">
        <v>5</v>
      </c>
      <c r="I167" s="252" t="s">
        <v>3697</v>
      </c>
      <c r="J167" s="252" t="s">
        <v>392</v>
      </c>
      <c r="K167" s="58" t="s">
        <v>392</v>
      </c>
      <c r="L167" s="58">
        <v>0</v>
      </c>
      <c r="M167" s="58">
        <v>1</v>
      </c>
      <c r="N167" s="58">
        <v>1870</v>
      </c>
      <c r="O167" s="58">
        <v>8</v>
      </c>
      <c r="P167" s="58" t="s">
        <v>522</v>
      </c>
      <c r="Q167" s="58">
        <v>21</v>
      </c>
      <c r="R167" s="58">
        <v>1</v>
      </c>
      <c r="S167" s="58">
        <v>0</v>
      </c>
      <c r="T167" s="58">
        <v>1</v>
      </c>
      <c r="U167" s="58" t="s">
        <v>522</v>
      </c>
    </row>
    <row r="168" spans="1:21" x14ac:dyDescent="0.3">
      <c r="A168" t="str">
        <f t="shared" ref="A168:A211" si="6">IF(OR(AnnéeJeu&lt;N168,déForce&lt;S168),"",B168)</f>
        <v/>
      </c>
      <c r="B168" s="24" t="s">
        <v>393</v>
      </c>
      <c r="C168" s="61" t="s">
        <v>398</v>
      </c>
      <c r="D168" s="58" t="s">
        <v>394</v>
      </c>
      <c r="E168" s="58">
        <v>5</v>
      </c>
      <c r="F168" s="58">
        <v>2</v>
      </c>
      <c r="G168" s="58">
        <v>1</v>
      </c>
      <c r="H168" s="58">
        <v>10</v>
      </c>
      <c r="I168" s="252" t="s">
        <v>3697</v>
      </c>
      <c r="J168" s="252" t="s">
        <v>386</v>
      </c>
      <c r="K168" s="58" t="s">
        <v>386</v>
      </c>
      <c r="L168" s="58">
        <v>0</v>
      </c>
      <c r="M168" s="58">
        <v>2</v>
      </c>
      <c r="N168" s="58">
        <v>1837</v>
      </c>
      <c r="O168" s="58">
        <v>12</v>
      </c>
      <c r="P168" s="58" t="s">
        <v>522</v>
      </c>
      <c r="Q168" s="58">
        <v>21</v>
      </c>
      <c r="R168" s="58">
        <v>1</v>
      </c>
      <c r="S168" s="58">
        <v>0</v>
      </c>
      <c r="T168" s="58">
        <v>1</v>
      </c>
      <c r="U168" s="58" t="s">
        <v>504</v>
      </c>
    </row>
    <row r="169" spans="1:21" x14ac:dyDescent="0.3">
      <c r="A169" t="str">
        <f t="shared" si="6"/>
        <v/>
      </c>
      <c r="B169" s="24" t="s">
        <v>395</v>
      </c>
      <c r="C169" s="61" t="s">
        <v>398</v>
      </c>
      <c r="D169" s="58" t="s">
        <v>381</v>
      </c>
      <c r="E169" s="58">
        <v>6</v>
      </c>
      <c r="F169" s="58">
        <v>2</v>
      </c>
      <c r="G169" s="58">
        <v>1</v>
      </c>
      <c r="H169" s="58">
        <v>10</v>
      </c>
      <c r="I169" s="252" t="s">
        <v>3697</v>
      </c>
      <c r="J169" s="252" t="s">
        <v>3767</v>
      </c>
      <c r="K169" s="58" t="s">
        <v>3700</v>
      </c>
      <c r="L169" s="58">
        <v>0</v>
      </c>
      <c r="M169" s="58">
        <v>3</v>
      </c>
      <c r="N169" s="58">
        <v>1873</v>
      </c>
      <c r="O169" s="58">
        <v>15</v>
      </c>
      <c r="P169" s="58" t="s">
        <v>522</v>
      </c>
      <c r="Q169" s="58">
        <v>21</v>
      </c>
      <c r="R169" s="58">
        <v>1</v>
      </c>
      <c r="S169" s="58">
        <v>0</v>
      </c>
      <c r="T169" s="58">
        <v>1</v>
      </c>
      <c r="U169" s="58" t="s">
        <v>522</v>
      </c>
    </row>
    <row r="170" spans="1:21" x14ac:dyDescent="0.3">
      <c r="A170" t="str">
        <f t="shared" si="6"/>
        <v/>
      </c>
      <c r="B170" s="24" t="s">
        <v>399</v>
      </c>
      <c r="C170" s="61" t="s">
        <v>398</v>
      </c>
      <c r="D170" s="58" t="s">
        <v>412</v>
      </c>
      <c r="E170" s="58">
        <v>6</v>
      </c>
      <c r="F170" s="58">
        <v>2</v>
      </c>
      <c r="G170" s="58">
        <v>1</v>
      </c>
      <c r="H170" s="58">
        <v>10</v>
      </c>
      <c r="I170" s="252" t="s">
        <v>3697</v>
      </c>
      <c r="J170" s="252" t="s">
        <v>386</v>
      </c>
      <c r="K170" s="58" t="s">
        <v>386</v>
      </c>
      <c r="L170" s="58">
        <v>0</v>
      </c>
      <c r="M170" s="58">
        <v>3</v>
      </c>
      <c r="N170" s="58">
        <v>1861</v>
      </c>
      <c r="O170" s="58">
        <v>10</v>
      </c>
      <c r="P170" s="58" t="s">
        <v>522</v>
      </c>
      <c r="Q170" s="58">
        <v>21</v>
      </c>
      <c r="R170" s="58">
        <v>1</v>
      </c>
      <c r="S170" s="58">
        <v>0</v>
      </c>
      <c r="T170" s="58">
        <v>1</v>
      </c>
      <c r="U170" s="58" t="s">
        <v>504</v>
      </c>
    </row>
    <row r="171" spans="1:21" x14ac:dyDescent="0.3">
      <c r="A171" t="str">
        <f t="shared" si="6"/>
        <v/>
      </c>
      <c r="B171" s="24" t="s">
        <v>1096</v>
      </c>
      <c r="C171" s="61" t="s">
        <v>398</v>
      </c>
      <c r="D171" s="58" t="s">
        <v>416</v>
      </c>
      <c r="E171" s="58">
        <v>6</v>
      </c>
      <c r="F171" s="58">
        <v>2</v>
      </c>
      <c r="G171" s="58">
        <v>1</v>
      </c>
      <c r="H171" s="58">
        <v>10</v>
      </c>
      <c r="I171" s="252" t="s">
        <v>3697</v>
      </c>
      <c r="J171" s="252" t="s">
        <v>3767</v>
      </c>
      <c r="K171" s="58" t="s">
        <v>3717</v>
      </c>
      <c r="L171" s="58">
        <v>0</v>
      </c>
      <c r="M171" s="58">
        <v>2</v>
      </c>
      <c r="N171" s="58">
        <v>1877</v>
      </c>
      <c r="O171" s="58">
        <v>14</v>
      </c>
      <c r="P171" s="58" t="s">
        <v>522</v>
      </c>
      <c r="Q171" s="58">
        <v>21</v>
      </c>
      <c r="R171" s="58">
        <v>1</v>
      </c>
      <c r="S171" s="58">
        <v>0</v>
      </c>
      <c r="T171" s="58">
        <v>1</v>
      </c>
      <c r="U171" s="58" t="s">
        <v>522</v>
      </c>
    </row>
    <row r="172" spans="1:21" x14ac:dyDescent="0.3">
      <c r="A172" t="str">
        <f t="shared" si="6"/>
        <v/>
      </c>
      <c r="B172" s="24" t="s">
        <v>400</v>
      </c>
      <c r="C172" s="61" t="s">
        <v>398</v>
      </c>
      <c r="D172" s="58" t="s">
        <v>401</v>
      </c>
      <c r="E172" s="58">
        <v>6</v>
      </c>
      <c r="F172" s="58">
        <v>2</v>
      </c>
      <c r="G172" s="58">
        <v>1</v>
      </c>
      <c r="H172" s="58">
        <v>10</v>
      </c>
      <c r="I172" s="252" t="s">
        <v>3697</v>
      </c>
      <c r="J172" s="252" t="s">
        <v>3761</v>
      </c>
      <c r="K172" s="58" t="s">
        <v>3700</v>
      </c>
      <c r="L172" s="58">
        <v>0</v>
      </c>
      <c r="M172" s="58">
        <v>3</v>
      </c>
      <c r="N172" s="58">
        <v>1847</v>
      </c>
      <c r="O172" s="58">
        <v>12</v>
      </c>
      <c r="P172" s="58" t="s">
        <v>522</v>
      </c>
      <c r="Q172" s="58">
        <v>21</v>
      </c>
      <c r="R172" s="58">
        <v>1</v>
      </c>
      <c r="S172" s="58">
        <v>0</v>
      </c>
      <c r="T172" s="58">
        <v>1</v>
      </c>
      <c r="U172" s="58" t="s">
        <v>504</v>
      </c>
    </row>
    <row r="173" spans="1:21" x14ac:dyDescent="0.3">
      <c r="A173" t="str">
        <f t="shared" si="6"/>
        <v/>
      </c>
      <c r="B173" s="24" t="s">
        <v>3945</v>
      </c>
      <c r="C173" s="61" t="s">
        <v>398</v>
      </c>
      <c r="D173" s="58" t="s">
        <v>409</v>
      </c>
      <c r="E173" s="58">
        <v>5</v>
      </c>
      <c r="F173" s="58">
        <v>2</v>
      </c>
      <c r="G173" s="58">
        <v>1</v>
      </c>
      <c r="H173" s="58">
        <v>10</v>
      </c>
      <c r="I173" s="252" t="s">
        <v>3697</v>
      </c>
      <c r="J173" s="252" t="s">
        <v>3761</v>
      </c>
      <c r="K173" s="58" t="s">
        <v>3700</v>
      </c>
      <c r="L173" s="58">
        <v>0</v>
      </c>
      <c r="M173" s="58">
        <v>3</v>
      </c>
      <c r="N173" s="58">
        <v>1850</v>
      </c>
      <c r="O173" s="58">
        <v>20</v>
      </c>
      <c r="P173" s="58" t="s">
        <v>522</v>
      </c>
      <c r="Q173" s="58">
        <v>21</v>
      </c>
      <c r="R173" s="58">
        <v>1</v>
      </c>
      <c r="S173" s="58">
        <v>0</v>
      </c>
      <c r="T173" s="58">
        <v>1</v>
      </c>
      <c r="U173" s="58" t="s">
        <v>522</v>
      </c>
    </row>
    <row r="174" spans="1:21" x14ac:dyDescent="0.3">
      <c r="A174" t="str">
        <f t="shared" si="6"/>
        <v/>
      </c>
      <c r="B174" s="24" t="s">
        <v>3939</v>
      </c>
      <c r="C174" s="61" t="s">
        <v>398</v>
      </c>
      <c r="D174" s="58" t="s">
        <v>409</v>
      </c>
      <c r="E174" s="58">
        <v>6</v>
      </c>
      <c r="F174" s="58">
        <v>2</v>
      </c>
      <c r="G174" s="58">
        <v>1</v>
      </c>
      <c r="H174" s="58">
        <v>10</v>
      </c>
      <c r="I174" s="252" t="s">
        <v>3697</v>
      </c>
      <c r="J174" s="252" t="s">
        <v>386</v>
      </c>
      <c r="K174" s="58" t="s">
        <v>386</v>
      </c>
      <c r="L174" s="58">
        <v>0</v>
      </c>
      <c r="M174" s="58">
        <v>3</v>
      </c>
      <c r="N174" s="58">
        <v>1851</v>
      </c>
      <c r="O174" s="58">
        <v>20</v>
      </c>
      <c r="P174" s="58" t="s">
        <v>522</v>
      </c>
      <c r="Q174" s="58">
        <v>21</v>
      </c>
      <c r="R174" s="58">
        <v>1</v>
      </c>
      <c r="S174" s="58">
        <v>0</v>
      </c>
      <c r="T174" s="58">
        <v>1</v>
      </c>
      <c r="U174" s="58" t="s">
        <v>522</v>
      </c>
    </row>
    <row r="175" spans="1:21" x14ac:dyDescent="0.3">
      <c r="A175" t="str">
        <f t="shared" si="6"/>
        <v/>
      </c>
      <c r="B175" s="24" t="s">
        <v>3957</v>
      </c>
      <c r="C175" s="61" t="s">
        <v>398</v>
      </c>
      <c r="D175" s="58" t="s">
        <v>413</v>
      </c>
      <c r="E175" s="58">
        <v>6</v>
      </c>
      <c r="F175" s="58">
        <v>2</v>
      </c>
      <c r="G175" s="58">
        <v>1</v>
      </c>
      <c r="H175" s="58">
        <v>10</v>
      </c>
      <c r="I175" s="252" t="s">
        <v>3697</v>
      </c>
      <c r="J175" s="252" t="s">
        <v>386</v>
      </c>
      <c r="K175" s="58" t="s">
        <v>386</v>
      </c>
      <c r="L175" s="58">
        <v>0</v>
      </c>
      <c r="M175" s="58">
        <v>3</v>
      </c>
      <c r="N175" s="58">
        <v>1883</v>
      </c>
      <c r="O175" s="58">
        <v>20</v>
      </c>
      <c r="P175" s="58" t="s">
        <v>522</v>
      </c>
      <c r="Q175" s="58">
        <v>21</v>
      </c>
      <c r="R175" s="58">
        <v>1</v>
      </c>
      <c r="S175" s="58">
        <v>0</v>
      </c>
      <c r="T175" s="58">
        <v>1</v>
      </c>
      <c r="U175" s="58" t="s">
        <v>522</v>
      </c>
    </row>
    <row r="176" spans="1:21" x14ac:dyDescent="0.3">
      <c r="A176" t="str">
        <f t="shared" si="6"/>
        <v/>
      </c>
      <c r="B176" s="24" t="s">
        <v>4236</v>
      </c>
      <c r="C176" s="61" t="s">
        <v>398</v>
      </c>
      <c r="D176" s="58" t="s">
        <v>410</v>
      </c>
      <c r="E176" s="58">
        <v>5</v>
      </c>
      <c r="F176" s="58">
        <v>2</v>
      </c>
      <c r="G176" s="58">
        <v>1</v>
      </c>
      <c r="H176" s="58">
        <v>5</v>
      </c>
      <c r="I176" s="252" t="s">
        <v>3697</v>
      </c>
      <c r="J176" s="252" t="s">
        <v>392</v>
      </c>
      <c r="K176" s="58" t="s">
        <v>392</v>
      </c>
      <c r="L176" s="58">
        <v>0</v>
      </c>
      <c r="M176" s="58">
        <v>1</v>
      </c>
      <c r="N176" s="58">
        <v>1860</v>
      </c>
      <c r="O176" s="58">
        <v>16</v>
      </c>
      <c r="P176" s="58" t="s">
        <v>522</v>
      </c>
      <c r="Q176" s="58">
        <v>19</v>
      </c>
      <c r="R176" s="58">
        <v>0.7</v>
      </c>
      <c r="S176" s="58">
        <v>0</v>
      </c>
      <c r="T176" s="58">
        <v>1</v>
      </c>
      <c r="U176" s="58" t="s">
        <v>4237</v>
      </c>
    </row>
    <row r="177" spans="1:21" x14ac:dyDescent="0.3">
      <c r="A177" t="str">
        <f t="shared" si="6"/>
        <v/>
      </c>
      <c r="B177" s="24" t="s">
        <v>402</v>
      </c>
      <c r="C177" s="61" t="s">
        <v>398</v>
      </c>
      <c r="D177" s="58" t="s">
        <v>403</v>
      </c>
      <c r="E177" s="58">
        <v>6</v>
      </c>
      <c r="F177" s="58">
        <v>2</v>
      </c>
      <c r="G177" s="58">
        <v>1</v>
      </c>
      <c r="H177" s="58">
        <v>10</v>
      </c>
      <c r="I177" s="252" t="s">
        <v>3697</v>
      </c>
      <c r="J177" s="252" t="s">
        <v>3761</v>
      </c>
      <c r="K177" s="58" t="s">
        <v>3700</v>
      </c>
      <c r="L177" s="58">
        <v>0</v>
      </c>
      <c r="M177" s="58">
        <v>3</v>
      </c>
      <c r="N177" s="58">
        <v>1875</v>
      </c>
      <c r="O177" s="58">
        <v>13</v>
      </c>
      <c r="P177" s="58" t="s">
        <v>522</v>
      </c>
      <c r="Q177" s="58">
        <v>21</v>
      </c>
      <c r="R177" s="58">
        <v>1</v>
      </c>
      <c r="S177" s="58">
        <v>0</v>
      </c>
      <c r="T177" s="58">
        <v>1</v>
      </c>
      <c r="U177" s="58" t="s">
        <v>522</v>
      </c>
    </row>
    <row r="178" spans="1:21" x14ac:dyDescent="0.3">
      <c r="A178" t="str">
        <f t="shared" si="6"/>
        <v/>
      </c>
      <c r="B178" s="24" t="s">
        <v>4610</v>
      </c>
      <c r="C178" s="61" t="s">
        <v>398</v>
      </c>
      <c r="D178" s="58" t="s">
        <v>403</v>
      </c>
      <c r="E178" s="58">
        <v>6</v>
      </c>
      <c r="F178" s="58">
        <v>2</v>
      </c>
      <c r="G178" s="58">
        <v>1</v>
      </c>
      <c r="H178" s="58">
        <v>10</v>
      </c>
      <c r="I178" s="252" t="s">
        <v>3697</v>
      </c>
      <c r="J178" s="252" t="s">
        <v>3761</v>
      </c>
      <c r="K178" s="58" t="s">
        <v>3700</v>
      </c>
      <c r="L178" s="58">
        <v>0</v>
      </c>
      <c r="M178" s="58">
        <v>3</v>
      </c>
      <c r="N178" s="58">
        <v>1863</v>
      </c>
      <c r="O178" s="58">
        <v>10</v>
      </c>
      <c r="P178" s="58" t="s">
        <v>522</v>
      </c>
      <c r="Q178" s="58">
        <v>21</v>
      </c>
      <c r="R178" s="58">
        <v>1</v>
      </c>
      <c r="S178" s="58">
        <v>0</v>
      </c>
      <c r="T178" s="58">
        <v>1</v>
      </c>
      <c r="U178" s="58" t="s">
        <v>522</v>
      </c>
    </row>
    <row r="179" spans="1:21" x14ac:dyDescent="0.3">
      <c r="B179" s="24" t="s">
        <v>3952</v>
      </c>
      <c r="C179" s="61" t="s">
        <v>398</v>
      </c>
      <c r="D179" s="58" t="s">
        <v>411</v>
      </c>
      <c r="E179" s="58">
        <v>6</v>
      </c>
      <c r="F179" s="58">
        <v>2</v>
      </c>
      <c r="G179" s="58">
        <v>1</v>
      </c>
      <c r="H179" s="58">
        <v>10</v>
      </c>
      <c r="I179" s="252" t="s">
        <v>3697</v>
      </c>
      <c r="J179" s="252" t="s">
        <v>3761</v>
      </c>
      <c r="K179" s="58" t="s">
        <v>3700</v>
      </c>
      <c r="L179" s="58">
        <v>0</v>
      </c>
      <c r="M179" s="58">
        <v>3</v>
      </c>
      <c r="N179" s="58">
        <v>1868</v>
      </c>
      <c r="O179" s="58">
        <v>25</v>
      </c>
      <c r="P179" s="58" t="s">
        <v>522</v>
      </c>
      <c r="Q179" s="58">
        <v>21</v>
      </c>
      <c r="R179" s="58">
        <v>1</v>
      </c>
      <c r="S179" s="58">
        <v>0</v>
      </c>
      <c r="T179" s="58">
        <v>1</v>
      </c>
      <c r="U179" s="58" t="s">
        <v>420</v>
      </c>
    </row>
    <row r="180" spans="1:21" x14ac:dyDescent="0.3">
      <c r="A180" t="str">
        <f t="shared" si="6"/>
        <v/>
      </c>
      <c r="B180" s="24" t="s">
        <v>1095</v>
      </c>
      <c r="C180" s="61" t="s">
        <v>398</v>
      </c>
      <c r="D180" s="58" t="s">
        <v>385</v>
      </c>
      <c r="E180" s="58">
        <v>6</v>
      </c>
      <c r="F180" s="58">
        <v>2</v>
      </c>
      <c r="G180" s="58">
        <v>1</v>
      </c>
      <c r="H180" s="58">
        <v>10</v>
      </c>
      <c r="I180" s="252" t="s">
        <v>3697</v>
      </c>
      <c r="J180" s="252" t="s">
        <v>386</v>
      </c>
      <c r="K180" s="58" t="s">
        <v>386</v>
      </c>
      <c r="L180" s="58">
        <v>0</v>
      </c>
      <c r="M180" s="58">
        <v>3</v>
      </c>
      <c r="N180" s="58">
        <v>1862</v>
      </c>
      <c r="O180" s="58">
        <v>10</v>
      </c>
      <c r="P180" s="58" t="s">
        <v>522</v>
      </c>
      <c r="Q180" s="58">
        <v>21</v>
      </c>
      <c r="R180" s="58">
        <v>1</v>
      </c>
      <c r="S180" s="58">
        <v>0</v>
      </c>
      <c r="T180" s="58">
        <v>1</v>
      </c>
      <c r="U180" s="58" t="s">
        <v>522</v>
      </c>
    </row>
    <row r="181" spans="1:21" x14ac:dyDescent="0.3">
      <c r="A181" t="str">
        <f t="shared" si="6"/>
        <v/>
      </c>
      <c r="B181" s="24" t="s">
        <v>3944</v>
      </c>
      <c r="C181" s="61" t="s">
        <v>398</v>
      </c>
      <c r="D181" s="58" t="s">
        <v>409</v>
      </c>
      <c r="E181" s="58">
        <v>6</v>
      </c>
      <c r="F181" s="58">
        <v>2</v>
      </c>
      <c r="G181" s="58">
        <v>1</v>
      </c>
      <c r="H181" s="58">
        <v>10</v>
      </c>
      <c r="I181" s="252" t="s">
        <v>3697</v>
      </c>
      <c r="J181" s="252" t="s">
        <v>386</v>
      </c>
      <c r="K181" s="58" t="s">
        <v>386</v>
      </c>
      <c r="L181" s="58">
        <v>0</v>
      </c>
      <c r="M181" s="58">
        <v>1</v>
      </c>
      <c r="N181" s="58">
        <v>1855</v>
      </c>
      <c r="O181" s="58">
        <v>15</v>
      </c>
      <c r="P181" s="58" t="s">
        <v>522</v>
      </c>
      <c r="Q181" s="58">
        <v>21</v>
      </c>
      <c r="R181" s="58">
        <v>1</v>
      </c>
      <c r="S181" s="58">
        <v>0</v>
      </c>
      <c r="T181" s="58">
        <v>1</v>
      </c>
      <c r="U181" s="58" t="s">
        <v>504</v>
      </c>
    </row>
    <row r="182" spans="1:21" x14ac:dyDescent="0.3">
      <c r="A182" t="str">
        <f t="shared" si="6"/>
        <v/>
      </c>
      <c r="B182" s="24" t="s">
        <v>4611</v>
      </c>
      <c r="C182" s="61" t="s">
        <v>398</v>
      </c>
      <c r="D182" s="58" t="s">
        <v>409</v>
      </c>
      <c r="E182" s="58">
        <v>5</v>
      </c>
      <c r="F182" s="58">
        <v>2</v>
      </c>
      <c r="G182" s="58">
        <v>1</v>
      </c>
      <c r="H182" s="58">
        <v>10</v>
      </c>
      <c r="I182" s="252" t="s">
        <v>3697</v>
      </c>
      <c r="J182" s="252" t="s">
        <v>3761</v>
      </c>
      <c r="K182" s="58" t="s">
        <v>3700</v>
      </c>
      <c r="L182" s="58">
        <v>0</v>
      </c>
      <c r="M182" s="58">
        <v>3</v>
      </c>
      <c r="N182" s="58">
        <v>1861</v>
      </c>
      <c r="O182" s="58">
        <v>10</v>
      </c>
      <c r="P182" s="58" t="s">
        <v>522</v>
      </c>
      <c r="Q182" s="58">
        <v>21</v>
      </c>
      <c r="R182" s="58">
        <v>1</v>
      </c>
      <c r="S182" s="58">
        <v>0</v>
      </c>
      <c r="T182" s="58">
        <v>1</v>
      </c>
      <c r="U182" s="58" t="s">
        <v>522</v>
      </c>
    </row>
    <row r="183" spans="1:21" x14ac:dyDescent="0.3">
      <c r="A183" t="str">
        <f t="shared" si="6"/>
        <v/>
      </c>
      <c r="B183" s="24" t="s">
        <v>404</v>
      </c>
      <c r="C183" s="61" t="s">
        <v>398</v>
      </c>
      <c r="D183" s="58" t="s">
        <v>405</v>
      </c>
      <c r="E183" s="58">
        <v>5</v>
      </c>
      <c r="F183" s="58">
        <v>2</v>
      </c>
      <c r="G183" s="58">
        <v>1</v>
      </c>
      <c r="H183" s="58">
        <v>5</v>
      </c>
      <c r="I183" s="252" t="s">
        <v>3697</v>
      </c>
      <c r="J183" s="252" t="s">
        <v>386</v>
      </c>
      <c r="K183" s="58" t="s">
        <v>386</v>
      </c>
      <c r="L183" s="58">
        <v>0</v>
      </c>
      <c r="M183" s="58">
        <v>2</v>
      </c>
      <c r="N183" s="58">
        <v>1870</v>
      </c>
      <c r="O183" s="58">
        <v>8</v>
      </c>
      <c r="P183" s="58" t="s">
        <v>522</v>
      </c>
      <c r="Q183" s="58">
        <v>21</v>
      </c>
      <c r="R183" s="58">
        <v>1</v>
      </c>
      <c r="S183" s="58">
        <v>0</v>
      </c>
      <c r="T183" s="58">
        <v>1</v>
      </c>
      <c r="U183" s="58" t="s">
        <v>522</v>
      </c>
    </row>
    <row r="184" spans="1:21" x14ac:dyDescent="0.3">
      <c r="A184" t="str">
        <f t="shared" si="6"/>
        <v/>
      </c>
      <c r="B184" s="24" t="s">
        <v>4864</v>
      </c>
      <c r="C184" s="61" t="s">
        <v>398</v>
      </c>
      <c r="D184" s="58" t="s">
        <v>414</v>
      </c>
      <c r="E184" s="58">
        <v>1</v>
      </c>
      <c r="F184" s="58">
        <v>2</v>
      </c>
      <c r="G184" s="58">
        <v>1</v>
      </c>
      <c r="H184" s="58">
        <v>5</v>
      </c>
      <c r="I184" s="252" t="s">
        <v>3697</v>
      </c>
      <c r="J184" s="252" t="s">
        <v>3768</v>
      </c>
      <c r="K184" s="58" t="s">
        <v>3718</v>
      </c>
      <c r="L184" s="58">
        <v>-1</v>
      </c>
      <c r="M184" s="58">
        <v>3</v>
      </c>
      <c r="N184" s="58">
        <v>1860</v>
      </c>
      <c r="O184" s="58">
        <v>25</v>
      </c>
      <c r="P184" s="58" t="s">
        <v>522</v>
      </c>
      <c r="Q184" s="58">
        <v>21</v>
      </c>
      <c r="R184" s="58">
        <v>1</v>
      </c>
      <c r="S184" s="58">
        <v>0</v>
      </c>
      <c r="T184" s="58">
        <v>1</v>
      </c>
      <c r="U184" s="58" t="s">
        <v>522</v>
      </c>
    </row>
    <row r="185" spans="1:21" x14ac:dyDescent="0.3">
      <c r="A185" t="str">
        <f t="shared" si="6"/>
        <v/>
      </c>
      <c r="B185" s="24" t="s">
        <v>4863</v>
      </c>
      <c r="C185" s="61" t="s">
        <v>398</v>
      </c>
      <c r="D185" s="58" t="s">
        <v>413</v>
      </c>
      <c r="E185" s="58">
        <v>9</v>
      </c>
      <c r="F185" s="58">
        <v>2</v>
      </c>
      <c r="G185" s="58">
        <v>1</v>
      </c>
      <c r="H185" s="58">
        <v>10</v>
      </c>
      <c r="I185" s="252" t="s">
        <v>3697</v>
      </c>
      <c r="J185" s="252" t="s">
        <v>3767</v>
      </c>
      <c r="K185" s="58" t="s">
        <v>386</v>
      </c>
      <c r="L185" s="58">
        <v>-1</v>
      </c>
      <c r="M185" s="58">
        <v>3</v>
      </c>
      <c r="N185" s="58">
        <v>1860</v>
      </c>
      <c r="O185" s="58">
        <v>25</v>
      </c>
      <c r="P185" s="58" t="s">
        <v>522</v>
      </c>
      <c r="Q185" s="58">
        <v>21</v>
      </c>
      <c r="R185" s="58">
        <v>1</v>
      </c>
      <c r="S185" s="58">
        <v>0</v>
      </c>
      <c r="T185" s="58">
        <v>1</v>
      </c>
      <c r="U185" s="58" t="s">
        <v>504</v>
      </c>
    </row>
    <row r="186" spans="1:21" x14ac:dyDescent="0.3">
      <c r="A186" t="str">
        <f t="shared" si="6"/>
        <v/>
      </c>
      <c r="B186" s="24" t="s">
        <v>408</v>
      </c>
      <c r="C186" s="61" t="s">
        <v>398</v>
      </c>
      <c r="D186" s="58" t="s">
        <v>414</v>
      </c>
      <c r="E186" s="58">
        <v>1</v>
      </c>
      <c r="F186" s="58">
        <v>2</v>
      </c>
      <c r="G186" s="58">
        <v>1</v>
      </c>
      <c r="H186" s="58">
        <v>5</v>
      </c>
      <c r="I186" s="252" t="s">
        <v>3697</v>
      </c>
      <c r="J186" s="252" t="s">
        <v>3768</v>
      </c>
      <c r="K186" s="58" t="s">
        <v>3718</v>
      </c>
      <c r="L186" s="58">
        <v>-1</v>
      </c>
      <c r="M186" s="58">
        <v>2</v>
      </c>
      <c r="N186" s="58">
        <v>1876</v>
      </c>
      <c r="O186" s="58">
        <v>25</v>
      </c>
      <c r="P186" s="58" t="s">
        <v>522</v>
      </c>
      <c r="Q186" s="58">
        <v>21</v>
      </c>
      <c r="R186" s="58">
        <v>1</v>
      </c>
      <c r="S186" s="58">
        <v>0</v>
      </c>
      <c r="T186" s="58">
        <v>1</v>
      </c>
      <c r="U186" s="58" t="s">
        <v>522</v>
      </c>
    </row>
    <row r="187" spans="1:21" x14ac:dyDescent="0.3">
      <c r="A187" t="str">
        <f t="shared" si="6"/>
        <v/>
      </c>
      <c r="B187" s="24" t="s">
        <v>406</v>
      </c>
      <c r="C187" s="61" t="s">
        <v>398</v>
      </c>
      <c r="D187" s="58" t="s">
        <v>407</v>
      </c>
      <c r="E187" s="58">
        <v>9</v>
      </c>
      <c r="F187" s="58">
        <v>2</v>
      </c>
      <c r="G187" s="58">
        <v>1</v>
      </c>
      <c r="H187" s="58">
        <v>10</v>
      </c>
      <c r="I187" s="252" t="s">
        <v>3697</v>
      </c>
      <c r="J187" s="252" t="s">
        <v>417</v>
      </c>
      <c r="K187" s="58" t="s">
        <v>417</v>
      </c>
      <c r="L187" s="58">
        <v>-1</v>
      </c>
      <c r="M187" s="58">
        <v>2</v>
      </c>
      <c r="N187" s="58">
        <v>1876</v>
      </c>
      <c r="O187" s="58">
        <v>25</v>
      </c>
      <c r="P187" s="58" t="s">
        <v>522</v>
      </c>
      <c r="Q187" s="58">
        <v>21</v>
      </c>
      <c r="R187" s="58">
        <v>1</v>
      </c>
      <c r="S187" s="58">
        <v>0</v>
      </c>
      <c r="T187" s="58">
        <v>1</v>
      </c>
      <c r="U187" s="58" t="s">
        <v>522</v>
      </c>
    </row>
    <row r="188" spans="1:21" x14ac:dyDescent="0.3">
      <c r="A188" t="str">
        <f t="shared" si="6"/>
        <v/>
      </c>
      <c r="B188" s="24" t="s">
        <v>87</v>
      </c>
      <c r="C188" s="61" t="s">
        <v>398</v>
      </c>
      <c r="D188" s="58" t="s">
        <v>409</v>
      </c>
      <c r="E188" s="58">
        <v>1</v>
      </c>
      <c r="F188" s="58">
        <v>2</v>
      </c>
      <c r="G188" s="58">
        <v>1</v>
      </c>
      <c r="H188" s="58">
        <v>10</v>
      </c>
      <c r="I188" s="252" t="s">
        <v>3697</v>
      </c>
      <c r="J188" s="252" t="s">
        <v>417</v>
      </c>
      <c r="K188" s="58" t="s">
        <v>417</v>
      </c>
      <c r="L188" s="58">
        <v>-1</v>
      </c>
      <c r="M188" s="58">
        <v>2</v>
      </c>
      <c r="N188" s="58">
        <v>1870</v>
      </c>
      <c r="O188" s="58">
        <v>30</v>
      </c>
      <c r="P188" s="58" t="s">
        <v>522</v>
      </c>
      <c r="Q188" s="58">
        <v>21</v>
      </c>
      <c r="R188" s="58">
        <v>1</v>
      </c>
      <c r="S188" s="58">
        <v>0</v>
      </c>
      <c r="T188" s="58">
        <v>1</v>
      </c>
      <c r="U188" s="58" t="s">
        <v>522</v>
      </c>
    </row>
    <row r="189" spans="1:21" x14ac:dyDescent="0.3">
      <c r="A189" t="str">
        <f t="shared" si="6"/>
        <v/>
      </c>
      <c r="B189" s="24" t="s">
        <v>3956</v>
      </c>
      <c r="C189" s="61" t="s">
        <v>398</v>
      </c>
      <c r="D189" s="58" t="s">
        <v>411</v>
      </c>
      <c r="E189" s="58">
        <v>6</v>
      </c>
      <c r="F189" s="58">
        <v>2</v>
      </c>
      <c r="G189" s="58">
        <v>1</v>
      </c>
      <c r="H189" s="58">
        <v>10</v>
      </c>
      <c r="I189" s="252" t="s">
        <v>3697</v>
      </c>
      <c r="J189" s="252" t="s">
        <v>417</v>
      </c>
      <c r="K189" s="58" t="s">
        <v>417</v>
      </c>
      <c r="L189" s="58">
        <v>-1</v>
      </c>
      <c r="M189" s="58">
        <v>2</v>
      </c>
      <c r="N189" s="58">
        <v>1878</v>
      </c>
      <c r="O189" s="58">
        <v>25</v>
      </c>
      <c r="P189" s="58" t="s">
        <v>522</v>
      </c>
      <c r="Q189" s="58">
        <v>21</v>
      </c>
      <c r="R189" s="58">
        <v>1</v>
      </c>
      <c r="S189" s="58">
        <v>0</v>
      </c>
      <c r="T189" s="58">
        <v>1</v>
      </c>
      <c r="U189" s="58" t="s">
        <v>522</v>
      </c>
    </row>
    <row r="190" spans="1:21" x14ac:dyDescent="0.3">
      <c r="A190" t="str">
        <f t="shared" si="6"/>
        <v/>
      </c>
      <c r="B190" s="24" t="s">
        <v>415</v>
      </c>
      <c r="C190" s="61" t="s">
        <v>398</v>
      </c>
      <c r="D190" s="58" t="s">
        <v>416</v>
      </c>
      <c r="E190" s="58">
        <v>6</v>
      </c>
      <c r="F190" s="58">
        <v>2</v>
      </c>
      <c r="G190" s="58">
        <v>1</v>
      </c>
      <c r="H190" s="58">
        <v>10</v>
      </c>
      <c r="I190" s="252" t="s">
        <v>3697</v>
      </c>
      <c r="J190" s="252" t="s">
        <v>3767</v>
      </c>
      <c r="K190" s="58" t="s">
        <v>3717</v>
      </c>
      <c r="L190" s="58">
        <v>0</v>
      </c>
      <c r="M190" s="58">
        <v>3</v>
      </c>
      <c r="N190" s="58">
        <v>1876</v>
      </c>
      <c r="O190" s="58">
        <v>14</v>
      </c>
      <c r="P190" s="58" t="s">
        <v>522</v>
      </c>
      <c r="Q190" s="58">
        <v>21</v>
      </c>
      <c r="R190" s="58">
        <v>1</v>
      </c>
      <c r="S190" s="58">
        <v>0</v>
      </c>
      <c r="T190" s="58">
        <v>1</v>
      </c>
      <c r="U190" s="58" t="s">
        <v>522</v>
      </c>
    </row>
    <row r="191" spans="1:21" x14ac:dyDescent="0.3">
      <c r="A191" t="str">
        <f t="shared" si="6"/>
        <v/>
      </c>
      <c r="B191" s="24" t="s">
        <v>419</v>
      </c>
      <c r="C191" s="61" t="s">
        <v>398</v>
      </c>
      <c r="D191" s="58" t="s">
        <v>411</v>
      </c>
      <c r="E191" s="58">
        <v>6</v>
      </c>
      <c r="F191" s="58">
        <v>2</v>
      </c>
      <c r="G191" s="58">
        <v>1</v>
      </c>
      <c r="H191" s="58">
        <v>10</v>
      </c>
      <c r="I191" s="252" t="s">
        <v>3697</v>
      </c>
      <c r="J191" s="252" t="s">
        <v>386</v>
      </c>
      <c r="K191" s="58" t="s">
        <v>386</v>
      </c>
      <c r="L191" s="58">
        <v>-1</v>
      </c>
      <c r="M191" s="58">
        <v>3</v>
      </c>
      <c r="N191" s="58">
        <v>1857</v>
      </c>
      <c r="O191" s="58">
        <v>10</v>
      </c>
      <c r="P191" s="58" t="s">
        <v>522</v>
      </c>
      <c r="Q191" s="58">
        <v>21</v>
      </c>
      <c r="R191" s="58">
        <v>1</v>
      </c>
      <c r="S191" s="58">
        <v>0</v>
      </c>
      <c r="T191" s="58">
        <v>1</v>
      </c>
      <c r="U191" s="58" t="s">
        <v>420</v>
      </c>
    </row>
    <row r="192" spans="1:21" x14ac:dyDescent="0.3">
      <c r="A192" t="str">
        <f t="shared" si="6"/>
        <v/>
      </c>
      <c r="B192" s="24" t="s">
        <v>3715</v>
      </c>
      <c r="C192" s="61" t="s">
        <v>398</v>
      </c>
      <c r="D192" s="58" t="s">
        <v>394</v>
      </c>
      <c r="E192" s="58">
        <v>6</v>
      </c>
      <c r="F192" s="58">
        <v>2</v>
      </c>
      <c r="G192" s="58">
        <v>1</v>
      </c>
      <c r="H192" s="58">
        <v>10</v>
      </c>
      <c r="I192" s="252" t="s">
        <v>3697</v>
      </c>
      <c r="J192" s="252" t="s">
        <v>3767</v>
      </c>
      <c r="K192" s="58" t="s">
        <v>3700</v>
      </c>
      <c r="L192" s="58">
        <v>-1</v>
      </c>
      <c r="M192" s="58">
        <v>3</v>
      </c>
      <c r="N192" s="58">
        <v>1854</v>
      </c>
      <c r="O192" s="58">
        <v>8</v>
      </c>
      <c r="P192" s="58" t="s">
        <v>522</v>
      </c>
      <c r="Q192" s="58">
        <v>21</v>
      </c>
      <c r="R192" s="58">
        <v>1</v>
      </c>
      <c r="S192" s="58">
        <v>0</v>
      </c>
      <c r="T192" s="58">
        <v>1</v>
      </c>
      <c r="U192" s="58" t="s">
        <v>420</v>
      </c>
    </row>
    <row r="193" spans="1:21" x14ac:dyDescent="0.3">
      <c r="A193" t="str">
        <f t="shared" si="6"/>
        <v/>
      </c>
      <c r="B193" s="24" t="s">
        <v>3714</v>
      </c>
      <c r="C193" s="61" t="s">
        <v>398</v>
      </c>
      <c r="D193" s="58" t="s">
        <v>418</v>
      </c>
      <c r="E193" s="58">
        <v>6</v>
      </c>
      <c r="F193" s="58">
        <v>2</v>
      </c>
      <c r="G193" s="58">
        <v>1</v>
      </c>
      <c r="H193" s="58">
        <v>10</v>
      </c>
      <c r="I193" s="252" t="s">
        <v>3697</v>
      </c>
      <c r="J193" s="252" t="s">
        <v>417</v>
      </c>
      <c r="K193" s="58" t="s">
        <v>386</v>
      </c>
      <c r="L193" s="58">
        <v>-1</v>
      </c>
      <c r="M193" s="58">
        <v>3</v>
      </c>
      <c r="N193" s="58">
        <v>1854</v>
      </c>
      <c r="O193" s="58">
        <v>10</v>
      </c>
      <c r="P193" s="58" t="s">
        <v>522</v>
      </c>
      <c r="Q193" s="58">
        <v>21</v>
      </c>
      <c r="R193" s="58">
        <v>1</v>
      </c>
      <c r="S193" s="58">
        <v>0</v>
      </c>
      <c r="T193" s="58">
        <v>1</v>
      </c>
      <c r="U193" s="58" t="s">
        <v>420</v>
      </c>
    </row>
    <row r="194" spans="1:21" x14ac:dyDescent="0.3">
      <c r="A194" t="str">
        <f t="shared" si="6"/>
        <v/>
      </c>
      <c r="B194" s="24" t="s">
        <v>421</v>
      </c>
      <c r="C194" s="61" t="s">
        <v>398</v>
      </c>
      <c r="D194" s="58" t="s">
        <v>411</v>
      </c>
      <c r="E194" s="58">
        <v>10</v>
      </c>
      <c r="F194" s="58">
        <v>2</v>
      </c>
      <c r="G194" s="58">
        <v>1</v>
      </c>
      <c r="H194" s="58">
        <v>10</v>
      </c>
      <c r="I194" s="252" t="s">
        <v>3697</v>
      </c>
      <c r="J194" s="252" t="s">
        <v>386</v>
      </c>
      <c r="K194" s="58" t="s">
        <v>386</v>
      </c>
      <c r="L194" s="58">
        <v>-1</v>
      </c>
      <c r="M194" s="58">
        <v>4</v>
      </c>
      <c r="N194" s="58">
        <v>1854</v>
      </c>
      <c r="O194" s="58">
        <v>12</v>
      </c>
      <c r="P194" s="58" t="s">
        <v>522</v>
      </c>
      <c r="Q194" s="58">
        <v>21</v>
      </c>
      <c r="R194" s="58">
        <v>1</v>
      </c>
      <c r="S194" s="58">
        <v>0</v>
      </c>
      <c r="T194" s="58">
        <v>1</v>
      </c>
      <c r="U194" s="58" t="s">
        <v>420</v>
      </c>
    </row>
    <row r="195" spans="1:21" x14ac:dyDescent="0.3">
      <c r="A195" t="str">
        <f t="shared" si="6"/>
        <v/>
      </c>
      <c r="B195" s="24" t="s">
        <v>422</v>
      </c>
      <c r="C195" s="61" t="s">
        <v>398</v>
      </c>
      <c r="D195" s="58" t="s">
        <v>405</v>
      </c>
      <c r="E195" s="58">
        <v>5</v>
      </c>
      <c r="F195" s="58">
        <v>1</v>
      </c>
      <c r="G195" s="58">
        <v>1</v>
      </c>
      <c r="H195" s="58">
        <v>5</v>
      </c>
      <c r="I195" s="252" t="s">
        <v>3708</v>
      </c>
      <c r="J195" s="252" t="s">
        <v>386</v>
      </c>
      <c r="K195" s="58" t="s">
        <v>386</v>
      </c>
      <c r="L195" s="58">
        <v>-1</v>
      </c>
      <c r="M195" s="58">
        <v>4</v>
      </c>
      <c r="N195" s="58">
        <v>1860</v>
      </c>
      <c r="O195" s="58">
        <v>8</v>
      </c>
      <c r="P195" s="58" t="s">
        <v>522</v>
      </c>
      <c r="Q195" s="58">
        <v>21</v>
      </c>
      <c r="R195" s="58">
        <v>1</v>
      </c>
      <c r="S195" s="58">
        <v>0</v>
      </c>
      <c r="T195" s="58">
        <v>1</v>
      </c>
      <c r="U195" s="58" t="s">
        <v>522</v>
      </c>
    </row>
    <row r="196" spans="1:21" x14ac:dyDescent="0.3">
      <c r="B196" s="24" t="s">
        <v>3948</v>
      </c>
      <c r="C196" s="61" t="s">
        <v>398</v>
      </c>
      <c r="D196" s="58" t="s">
        <v>405</v>
      </c>
      <c r="E196" s="58">
        <v>6</v>
      </c>
      <c r="F196" s="58">
        <v>1</v>
      </c>
      <c r="G196" s="58">
        <v>1</v>
      </c>
      <c r="H196" s="58">
        <v>10</v>
      </c>
      <c r="I196" s="252" t="s">
        <v>3697</v>
      </c>
      <c r="J196" s="252" t="s">
        <v>386</v>
      </c>
      <c r="K196" s="58" t="s">
        <v>386</v>
      </c>
      <c r="L196" s="58">
        <v>0</v>
      </c>
      <c r="M196" s="58">
        <v>3</v>
      </c>
      <c r="N196" s="58">
        <v>1860</v>
      </c>
      <c r="O196" s="58">
        <v>30</v>
      </c>
      <c r="P196" s="58" t="s">
        <v>522</v>
      </c>
      <c r="Q196" s="58">
        <v>21</v>
      </c>
      <c r="R196" s="58">
        <v>1</v>
      </c>
      <c r="S196" s="58">
        <v>0</v>
      </c>
      <c r="T196" s="58">
        <v>1</v>
      </c>
      <c r="U196" s="58" t="s">
        <v>522</v>
      </c>
    </row>
    <row r="197" spans="1:21" x14ac:dyDescent="0.3">
      <c r="A197" t="str">
        <f t="shared" si="6"/>
        <v/>
      </c>
      <c r="B197" s="24" t="s">
        <v>423</v>
      </c>
      <c r="C197" s="61" t="s">
        <v>398</v>
      </c>
      <c r="D197" s="58" t="s">
        <v>401</v>
      </c>
      <c r="E197" s="58">
        <v>6</v>
      </c>
      <c r="F197" s="58">
        <v>2</v>
      </c>
      <c r="G197" s="58">
        <v>1</v>
      </c>
      <c r="H197" s="58">
        <v>10</v>
      </c>
      <c r="I197" s="252" t="s">
        <v>3697</v>
      </c>
      <c r="J197" s="252" t="s">
        <v>3767</v>
      </c>
      <c r="K197" s="58" t="s">
        <v>3700</v>
      </c>
      <c r="L197" s="58">
        <v>0</v>
      </c>
      <c r="M197" s="58">
        <v>3</v>
      </c>
      <c r="N197" s="58">
        <v>1863</v>
      </c>
      <c r="O197" s="58">
        <v>10</v>
      </c>
      <c r="P197" s="58" t="s">
        <v>522</v>
      </c>
      <c r="Q197" s="58">
        <v>21</v>
      </c>
      <c r="R197" s="58">
        <v>1</v>
      </c>
      <c r="S197" s="58">
        <v>0</v>
      </c>
      <c r="T197" s="58">
        <v>1</v>
      </c>
      <c r="U197" s="58" t="s">
        <v>504</v>
      </c>
    </row>
    <row r="198" spans="1:21" x14ac:dyDescent="0.3">
      <c r="A198" t="str">
        <f t="shared" si="6"/>
        <v/>
      </c>
      <c r="B198" s="24" t="s">
        <v>426</v>
      </c>
      <c r="C198" s="61" t="s">
        <v>398</v>
      </c>
      <c r="D198" s="58" t="s">
        <v>427</v>
      </c>
      <c r="E198" s="58">
        <v>6</v>
      </c>
      <c r="F198" s="58">
        <v>2</v>
      </c>
      <c r="G198" s="58">
        <v>1</v>
      </c>
      <c r="H198" s="58">
        <v>10</v>
      </c>
      <c r="I198" s="252" t="s">
        <v>3697</v>
      </c>
      <c r="J198" s="252" t="s">
        <v>386</v>
      </c>
      <c r="K198" s="58" t="s">
        <v>3717</v>
      </c>
      <c r="L198" s="58">
        <v>0</v>
      </c>
      <c r="M198" s="58">
        <v>3</v>
      </c>
      <c r="N198" s="58">
        <v>1867</v>
      </c>
      <c r="O198" s="58">
        <v>10</v>
      </c>
      <c r="P198" s="58" t="s">
        <v>522</v>
      </c>
      <c r="Q198" s="58">
        <v>21</v>
      </c>
      <c r="R198" s="58">
        <v>1</v>
      </c>
      <c r="S198" s="58">
        <v>0</v>
      </c>
      <c r="T198" s="58">
        <v>1</v>
      </c>
      <c r="U198" s="58" t="s">
        <v>504</v>
      </c>
    </row>
    <row r="199" spans="1:21" x14ac:dyDescent="0.3">
      <c r="A199" t="str">
        <f t="shared" si="6"/>
        <v/>
      </c>
      <c r="B199" s="24" t="s">
        <v>4612</v>
      </c>
      <c r="C199" s="61" t="s">
        <v>398</v>
      </c>
      <c r="D199" s="58" t="s">
        <v>428</v>
      </c>
      <c r="E199" s="58">
        <v>6</v>
      </c>
      <c r="F199" s="58">
        <v>2</v>
      </c>
      <c r="G199" s="58">
        <v>1</v>
      </c>
      <c r="H199" s="58">
        <v>10</v>
      </c>
      <c r="I199" s="252" t="s">
        <v>3697</v>
      </c>
      <c r="J199" s="252" t="s">
        <v>417</v>
      </c>
      <c r="K199" s="58" t="s">
        <v>386</v>
      </c>
      <c r="L199" s="58">
        <v>0</v>
      </c>
      <c r="M199" s="58">
        <v>3</v>
      </c>
      <c r="N199" s="58">
        <v>1870</v>
      </c>
      <c r="O199" s="58">
        <v>13</v>
      </c>
      <c r="P199" s="58" t="s">
        <v>522</v>
      </c>
      <c r="Q199" s="58">
        <v>21</v>
      </c>
      <c r="R199" s="58">
        <v>1</v>
      </c>
      <c r="S199" s="58">
        <v>0</v>
      </c>
      <c r="T199" s="58">
        <v>1</v>
      </c>
      <c r="U199" s="58" t="s">
        <v>522</v>
      </c>
    </row>
    <row r="200" spans="1:21" x14ac:dyDescent="0.3">
      <c r="A200" t="str">
        <f t="shared" si="6"/>
        <v/>
      </c>
      <c r="B200" s="24" t="s">
        <v>4613</v>
      </c>
      <c r="C200" s="61" t="s">
        <v>398</v>
      </c>
      <c r="D200" s="58" t="s">
        <v>409</v>
      </c>
      <c r="E200" s="58">
        <v>6</v>
      </c>
      <c r="F200" s="58">
        <v>2</v>
      </c>
      <c r="G200" s="58">
        <v>1</v>
      </c>
      <c r="H200" s="58">
        <v>10</v>
      </c>
      <c r="I200" s="252" t="s">
        <v>3697</v>
      </c>
      <c r="J200" s="252" t="s">
        <v>3767</v>
      </c>
      <c r="K200" s="58" t="s">
        <v>3700</v>
      </c>
      <c r="L200" s="58">
        <v>0</v>
      </c>
      <c r="M200" s="58">
        <v>3</v>
      </c>
      <c r="N200" s="58">
        <v>1875</v>
      </c>
      <c r="O200" s="58">
        <v>13</v>
      </c>
      <c r="P200" s="58" t="s">
        <v>522</v>
      </c>
      <c r="Q200" s="58">
        <v>21</v>
      </c>
      <c r="R200" s="58">
        <v>1</v>
      </c>
      <c r="S200" s="58">
        <v>0</v>
      </c>
      <c r="T200" s="58">
        <v>1</v>
      </c>
      <c r="U200" s="58" t="s">
        <v>522</v>
      </c>
    </row>
    <row r="201" spans="1:21" x14ac:dyDescent="0.3">
      <c r="A201" t="str">
        <f t="shared" si="6"/>
        <v/>
      </c>
      <c r="B201" s="24" t="s">
        <v>424</v>
      </c>
      <c r="C201" s="61" t="s">
        <v>398</v>
      </c>
      <c r="D201" s="58" t="s">
        <v>425</v>
      </c>
      <c r="E201" s="58">
        <v>5</v>
      </c>
      <c r="F201" s="58">
        <v>2</v>
      </c>
      <c r="G201" s="58">
        <v>1</v>
      </c>
      <c r="H201" s="58">
        <v>5</v>
      </c>
      <c r="I201" s="252" t="s">
        <v>3697</v>
      </c>
      <c r="J201" s="252" t="s">
        <v>3761</v>
      </c>
      <c r="K201" s="58" t="s">
        <v>3780</v>
      </c>
      <c r="L201" s="58">
        <v>0</v>
      </c>
      <c r="M201" s="58">
        <v>1</v>
      </c>
      <c r="N201" s="58">
        <v>1857</v>
      </c>
      <c r="O201" s="58">
        <v>8</v>
      </c>
      <c r="P201" s="58" t="s">
        <v>522</v>
      </c>
      <c r="Q201" s="58">
        <v>21</v>
      </c>
      <c r="R201" s="58">
        <v>1</v>
      </c>
      <c r="S201" s="58">
        <v>0</v>
      </c>
      <c r="T201" s="58">
        <v>1</v>
      </c>
      <c r="U201" s="58" t="s">
        <v>504</v>
      </c>
    </row>
    <row r="202" spans="1:21" x14ac:dyDescent="0.3">
      <c r="A202" t="str">
        <f t="shared" si="6"/>
        <v/>
      </c>
      <c r="B202" s="24" t="s">
        <v>429</v>
      </c>
      <c r="C202" s="61" t="s">
        <v>398</v>
      </c>
      <c r="D202" s="58" t="s">
        <v>427</v>
      </c>
      <c r="E202" s="58">
        <v>5</v>
      </c>
      <c r="F202" s="58">
        <v>2</v>
      </c>
      <c r="G202" s="58">
        <v>1</v>
      </c>
      <c r="H202" s="58">
        <v>10</v>
      </c>
      <c r="I202" s="252" t="s">
        <v>3697</v>
      </c>
      <c r="J202" s="252" t="s">
        <v>3761</v>
      </c>
      <c r="K202" s="58" t="s">
        <v>3700</v>
      </c>
      <c r="L202" s="58">
        <v>0</v>
      </c>
      <c r="M202" s="58">
        <v>3</v>
      </c>
      <c r="N202" s="58">
        <v>1851</v>
      </c>
      <c r="O202" s="58">
        <v>16</v>
      </c>
      <c r="P202" s="58" t="s">
        <v>522</v>
      </c>
      <c r="Q202" s="58">
        <v>21</v>
      </c>
      <c r="R202" s="58">
        <v>1</v>
      </c>
      <c r="S202" s="58">
        <v>0</v>
      </c>
      <c r="T202" s="58">
        <v>1</v>
      </c>
      <c r="U202" s="58" t="s">
        <v>504</v>
      </c>
    </row>
    <row r="203" spans="1:21" x14ac:dyDescent="0.3">
      <c r="A203" t="str">
        <f t="shared" si="6"/>
        <v/>
      </c>
      <c r="B203" s="24" t="s">
        <v>430</v>
      </c>
      <c r="C203" s="61" t="s">
        <v>398</v>
      </c>
      <c r="D203" s="58" t="s">
        <v>385</v>
      </c>
      <c r="E203" s="58">
        <v>6</v>
      </c>
      <c r="F203" s="58">
        <v>2</v>
      </c>
      <c r="G203" s="58">
        <v>1</v>
      </c>
      <c r="H203" s="58">
        <v>10</v>
      </c>
      <c r="I203" s="252" t="s">
        <v>3697</v>
      </c>
      <c r="J203" s="252" t="s">
        <v>417</v>
      </c>
      <c r="K203" s="58" t="s">
        <v>386</v>
      </c>
      <c r="L203" s="58">
        <v>0</v>
      </c>
      <c r="M203" s="58">
        <v>3</v>
      </c>
      <c r="N203" s="58">
        <v>1862</v>
      </c>
      <c r="O203" s="58">
        <v>10</v>
      </c>
      <c r="P203" s="58" t="s">
        <v>522</v>
      </c>
      <c r="Q203" s="58">
        <v>21</v>
      </c>
      <c r="R203" s="58">
        <v>1</v>
      </c>
      <c r="S203" s="58">
        <v>0</v>
      </c>
      <c r="T203" s="58">
        <v>1</v>
      </c>
      <c r="U203" s="58" t="s">
        <v>504</v>
      </c>
    </row>
    <row r="204" spans="1:21" x14ac:dyDescent="0.3">
      <c r="A204" t="str">
        <f t="shared" si="6"/>
        <v/>
      </c>
      <c r="B204" s="24" t="s">
        <v>431</v>
      </c>
      <c r="C204" s="61" t="s">
        <v>398</v>
      </c>
      <c r="D204" s="58" t="s">
        <v>401</v>
      </c>
      <c r="E204" s="58">
        <v>6</v>
      </c>
      <c r="F204" s="58">
        <v>2</v>
      </c>
      <c r="G204" s="58">
        <v>1</v>
      </c>
      <c r="H204" s="58">
        <v>10</v>
      </c>
      <c r="I204" s="252" t="s">
        <v>3697</v>
      </c>
      <c r="J204" s="252" t="s">
        <v>3761</v>
      </c>
      <c r="K204" s="58" t="s">
        <v>3700</v>
      </c>
      <c r="L204" s="58">
        <v>0</v>
      </c>
      <c r="M204" s="58">
        <v>3</v>
      </c>
      <c r="N204" s="58">
        <v>1863</v>
      </c>
      <c r="O204" s="58">
        <v>10</v>
      </c>
      <c r="P204" s="58" t="s">
        <v>522</v>
      </c>
      <c r="Q204" s="58">
        <v>21</v>
      </c>
      <c r="R204" s="58">
        <v>1</v>
      </c>
      <c r="S204" s="58">
        <v>0</v>
      </c>
      <c r="T204" s="58">
        <v>1</v>
      </c>
      <c r="U204" s="58" t="s">
        <v>504</v>
      </c>
    </row>
    <row r="205" spans="1:21" x14ac:dyDescent="0.3">
      <c r="A205" t="str">
        <f t="shared" si="6"/>
        <v/>
      </c>
      <c r="B205" s="24" t="s">
        <v>432</v>
      </c>
      <c r="C205" s="61" t="s">
        <v>398</v>
      </c>
      <c r="D205" s="58" t="s">
        <v>411</v>
      </c>
      <c r="E205" s="58">
        <v>5</v>
      </c>
      <c r="F205" s="58">
        <v>2</v>
      </c>
      <c r="G205" s="58">
        <v>1</v>
      </c>
      <c r="H205" s="58">
        <v>10</v>
      </c>
      <c r="I205" s="252" t="s">
        <v>3697</v>
      </c>
      <c r="J205" s="252" t="s">
        <v>386</v>
      </c>
      <c r="K205" s="58" t="s">
        <v>386</v>
      </c>
      <c r="L205" s="58">
        <v>1</v>
      </c>
      <c r="M205" s="58">
        <v>2</v>
      </c>
      <c r="N205" s="58">
        <v>1857</v>
      </c>
      <c r="O205" s="58">
        <v>10</v>
      </c>
      <c r="P205" s="58" t="s">
        <v>522</v>
      </c>
      <c r="Q205" s="58">
        <v>21</v>
      </c>
      <c r="R205" s="58">
        <v>1</v>
      </c>
      <c r="S205" s="58">
        <v>0</v>
      </c>
      <c r="T205" s="58">
        <v>1</v>
      </c>
      <c r="U205" s="58" t="s">
        <v>504</v>
      </c>
    </row>
    <row r="206" spans="1:21" x14ac:dyDescent="0.3">
      <c r="A206" t="str">
        <f t="shared" si="6"/>
        <v/>
      </c>
      <c r="B206" s="24" t="s">
        <v>433</v>
      </c>
      <c r="C206" s="61" t="s">
        <v>398</v>
      </c>
      <c r="D206" s="58" t="s">
        <v>385</v>
      </c>
      <c r="E206" s="58">
        <v>6</v>
      </c>
      <c r="F206" s="58">
        <v>2</v>
      </c>
      <c r="G206" s="58">
        <v>1</v>
      </c>
      <c r="H206" s="58">
        <v>10</v>
      </c>
      <c r="I206" s="252" t="s">
        <v>3697</v>
      </c>
      <c r="J206" s="252" t="s">
        <v>386</v>
      </c>
      <c r="K206" s="58" t="s">
        <v>386</v>
      </c>
      <c r="L206" s="58">
        <v>0</v>
      </c>
      <c r="M206" s="58">
        <v>3</v>
      </c>
      <c r="N206" s="58">
        <v>1863</v>
      </c>
      <c r="O206" s="58">
        <v>10</v>
      </c>
      <c r="P206" s="58" t="s">
        <v>522</v>
      </c>
      <c r="Q206" s="58">
        <v>21</v>
      </c>
      <c r="R206" s="58">
        <v>1</v>
      </c>
      <c r="S206" s="58">
        <v>0</v>
      </c>
      <c r="T206" s="58">
        <v>1</v>
      </c>
      <c r="U206" s="58" t="s">
        <v>504</v>
      </c>
    </row>
    <row r="207" spans="1:21" x14ac:dyDescent="0.3">
      <c r="A207" t="str">
        <f t="shared" si="6"/>
        <v/>
      </c>
      <c r="B207" s="24" t="s">
        <v>3942</v>
      </c>
      <c r="C207" s="61" t="s">
        <v>398</v>
      </c>
      <c r="D207" s="58" t="s">
        <v>381</v>
      </c>
      <c r="E207" s="58">
        <v>5</v>
      </c>
      <c r="F207" s="58">
        <v>2</v>
      </c>
      <c r="G207" s="58">
        <v>1</v>
      </c>
      <c r="H207" s="58">
        <v>10</v>
      </c>
      <c r="I207" s="252" t="s">
        <v>3697</v>
      </c>
      <c r="J207" s="252" t="s">
        <v>386</v>
      </c>
      <c r="K207" s="58" t="s">
        <v>386</v>
      </c>
      <c r="L207" s="58">
        <v>0</v>
      </c>
      <c r="M207" s="58">
        <v>3</v>
      </c>
      <c r="N207" s="58">
        <v>1853</v>
      </c>
      <c r="O207" s="58">
        <v>10</v>
      </c>
      <c r="P207" s="58" t="s">
        <v>522</v>
      </c>
      <c r="Q207" s="58">
        <v>21</v>
      </c>
      <c r="R207" s="58">
        <v>1</v>
      </c>
      <c r="S207" s="58">
        <v>0</v>
      </c>
      <c r="T207" s="58">
        <v>1</v>
      </c>
      <c r="U207" s="58" t="s">
        <v>504</v>
      </c>
    </row>
    <row r="208" spans="1:21" x14ac:dyDescent="0.3">
      <c r="A208" t="str">
        <f t="shared" ref="A208" si="7">IF(OR(AnnéeJeu&lt;N208,déForce&lt;S208),"",B208)</f>
        <v/>
      </c>
      <c r="B208" s="24" t="s">
        <v>3949</v>
      </c>
      <c r="C208" s="61" t="s">
        <v>398</v>
      </c>
      <c r="D208" s="58" t="s">
        <v>443</v>
      </c>
      <c r="E208" s="58">
        <v>6</v>
      </c>
      <c r="F208" s="58">
        <v>2</v>
      </c>
      <c r="G208" s="58">
        <v>1</v>
      </c>
      <c r="H208" s="58">
        <v>10</v>
      </c>
      <c r="I208" s="252" t="s">
        <v>3697</v>
      </c>
      <c r="J208" s="252" t="s">
        <v>386</v>
      </c>
      <c r="K208" s="58" t="s">
        <v>386</v>
      </c>
      <c r="L208" s="58">
        <v>0</v>
      </c>
      <c r="M208" s="58">
        <v>1</v>
      </c>
      <c r="N208" s="58">
        <v>1860</v>
      </c>
      <c r="O208" s="58">
        <v>10</v>
      </c>
      <c r="P208" s="58" t="s">
        <v>522</v>
      </c>
      <c r="Q208" s="58">
        <v>21</v>
      </c>
      <c r="R208" s="58">
        <v>1</v>
      </c>
      <c r="S208" s="58">
        <v>0</v>
      </c>
      <c r="T208" s="58">
        <v>1</v>
      </c>
      <c r="U208" s="58" t="s">
        <v>522</v>
      </c>
    </row>
    <row r="209" spans="1:21" x14ac:dyDescent="0.3">
      <c r="A209" t="str">
        <f t="shared" si="6"/>
        <v/>
      </c>
      <c r="B209" s="24" t="s">
        <v>434</v>
      </c>
      <c r="C209" s="61" t="s">
        <v>398</v>
      </c>
      <c r="D209" s="58" t="s">
        <v>409</v>
      </c>
      <c r="E209" s="58">
        <v>6</v>
      </c>
      <c r="F209" s="58">
        <v>2</v>
      </c>
      <c r="G209" s="58">
        <v>1</v>
      </c>
      <c r="H209" s="58">
        <v>10</v>
      </c>
      <c r="I209" s="252" t="s">
        <v>3697</v>
      </c>
      <c r="J209" s="252" t="s">
        <v>3761</v>
      </c>
      <c r="K209" s="58" t="s">
        <v>3700</v>
      </c>
      <c r="L209" s="58">
        <v>0</v>
      </c>
      <c r="M209" s="58">
        <v>3</v>
      </c>
      <c r="N209" s="58">
        <v>1863</v>
      </c>
      <c r="O209" s="58">
        <v>11</v>
      </c>
      <c r="P209" s="58" t="s">
        <v>522</v>
      </c>
      <c r="Q209" s="58">
        <v>21</v>
      </c>
      <c r="R209" s="58">
        <v>1</v>
      </c>
      <c r="S209" s="58">
        <v>0</v>
      </c>
      <c r="T209" s="58">
        <v>1</v>
      </c>
      <c r="U209" s="58" t="s">
        <v>504</v>
      </c>
    </row>
    <row r="210" spans="1:21" x14ac:dyDescent="0.3">
      <c r="A210" t="str">
        <f t="shared" si="6"/>
        <v/>
      </c>
      <c r="B210" s="24" t="s">
        <v>435</v>
      </c>
      <c r="C210" s="61" t="s">
        <v>398</v>
      </c>
      <c r="D210" s="58" t="s">
        <v>436</v>
      </c>
      <c r="E210" s="58">
        <v>6</v>
      </c>
      <c r="F210" s="58">
        <v>2</v>
      </c>
      <c r="G210" s="58">
        <v>1</v>
      </c>
      <c r="H210" s="58">
        <v>10</v>
      </c>
      <c r="I210" s="252" t="s">
        <v>3697</v>
      </c>
      <c r="J210" s="252" t="s">
        <v>386</v>
      </c>
      <c r="K210" s="58" t="s">
        <v>386</v>
      </c>
      <c r="L210" s="58">
        <v>-1</v>
      </c>
      <c r="M210" s="58">
        <v>3</v>
      </c>
      <c r="N210" s="58">
        <v>1861</v>
      </c>
      <c r="O210" s="58">
        <v>12</v>
      </c>
      <c r="P210" s="58" t="s">
        <v>522</v>
      </c>
      <c r="Q210" s="58">
        <v>21</v>
      </c>
      <c r="R210" s="58">
        <v>1</v>
      </c>
      <c r="S210" s="58">
        <v>0</v>
      </c>
      <c r="T210" s="58">
        <v>1</v>
      </c>
      <c r="U210" s="58" t="s">
        <v>504</v>
      </c>
    </row>
    <row r="211" spans="1:21" x14ac:dyDescent="0.3">
      <c r="A211" t="str">
        <f t="shared" si="6"/>
        <v/>
      </c>
      <c r="B211" s="24" t="s">
        <v>441</v>
      </c>
      <c r="C211" s="61" t="s">
        <v>398</v>
      </c>
      <c r="D211" s="58" t="s">
        <v>411</v>
      </c>
      <c r="E211" s="58">
        <v>5</v>
      </c>
      <c r="F211" s="58">
        <v>2</v>
      </c>
      <c r="G211" s="58">
        <v>1</v>
      </c>
      <c r="H211" s="58">
        <v>10</v>
      </c>
      <c r="I211" s="252" t="s">
        <v>3697</v>
      </c>
      <c r="J211" s="252" t="s">
        <v>3761</v>
      </c>
      <c r="K211" s="58" t="s">
        <v>3700</v>
      </c>
      <c r="L211" s="58">
        <v>-1</v>
      </c>
      <c r="M211" s="58">
        <v>1</v>
      </c>
      <c r="N211" s="58">
        <v>1876</v>
      </c>
      <c r="O211" s="58">
        <v>11</v>
      </c>
      <c r="P211" s="58" t="s">
        <v>522</v>
      </c>
      <c r="Q211" s="58">
        <v>21</v>
      </c>
      <c r="R211" s="58">
        <v>1</v>
      </c>
      <c r="S211" s="58">
        <v>0</v>
      </c>
      <c r="T211" s="58">
        <v>1</v>
      </c>
      <c r="U211" s="58" t="s">
        <v>522</v>
      </c>
    </row>
    <row r="212" spans="1:21" x14ac:dyDescent="0.3">
      <c r="A212" t="str">
        <f t="shared" ref="A212:A230" si="8">IF(OR(AnnéeJeu&lt;N212,déForce&lt;S212),"",B212)</f>
        <v/>
      </c>
      <c r="B212" s="24" t="s">
        <v>437</v>
      </c>
      <c r="C212" s="61" t="s">
        <v>398</v>
      </c>
      <c r="D212" s="58" t="s">
        <v>391</v>
      </c>
      <c r="E212" s="58">
        <v>7</v>
      </c>
      <c r="F212" s="58">
        <v>2</v>
      </c>
      <c r="G212" s="58">
        <v>1</v>
      </c>
      <c r="H212" s="58">
        <v>10</v>
      </c>
      <c r="I212" s="252" t="s">
        <v>3697</v>
      </c>
      <c r="J212" s="252" t="s">
        <v>387</v>
      </c>
      <c r="K212" s="58" t="s">
        <v>387</v>
      </c>
      <c r="L212" s="58">
        <v>0</v>
      </c>
      <c r="M212" s="58">
        <v>1</v>
      </c>
      <c r="N212" s="58">
        <v>1857</v>
      </c>
      <c r="O212" s="58">
        <v>8</v>
      </c>
      <c r="P212" s="58" t="s">
        <v>522</v>
      </c>
      <c r="Q212" s="58">
        <v>21</v>
      </c>
      <c r="R212" s="58">
        <v>1</v>
      </c>
      <c r="S212" s="58">
        <v>0</v>
      </c>
      <c r="T212" s="58">
        <v>1</v>
      </c>
      <c r="U212" s="58" t="s">
        <v>522</v>
      </c>
    </row>
    <row r="213" spans="1:21" x14ac:dyDescent="0.3">
      <c r="A213" t="str">
        <f t="shared" si="8"/>
        <v/>
      </c>
      <c r="B213" s="24" t="s">
        <v>438</v>
      </c>
      <c r="C213" s="61" t="s">
        <v>398</v>
      </c>
      <c r="D213" s="58" t="s">
        <v>443</v>
      </c>
      <c r="E213" s="58">
        <v>6</v>
      </c>
      <c r="F213" s="58">
        <v>2</v>
      </c>
      <c r="G213" s="58">
        <v>1</v>
      </c>
      <c r="H213" s="58">
        <v>10</v>
      </c>
      <c r="I213" s="252" t="s">
        <v>3697</v>
      </c>
      <c r="J213" s="252" t="s">
        <v>3761</v>
      </c>
      <c r="K213" s="58" t="s">
        <v>3700</v>
      </c>
      <c r="L213" s="58">
        <v>0</v>
      </c>
      <c r="M213" s="58">
        <v>3</v>
      </c>
      <c r="N213" s="58">
        <v>1861</v>
      </c>
      <c r="O213" s="58">
        <v>10</v>
      </c>
      <c r="P213" s="58" t="s">
        <v>522</v>
      </c>
      <c r="Q213" s="58">
        <v>21</v>
      </c>
      <c r="R213" s="58">
        <v>1</v>
      </c>
      <c r="S213" s="58">
        <v>0</v>
      </c>
      <c r="T213" s="58">
        <v>1</v>
      </c>
      <c r="U213" s="58" t="s">
        <v>522</v>
      </c>
    </row>
    <row r="214" spans="1:21" x14ac:dyDescent="0.3">
      <c r="A214" t="str">
        <f t="shared" si="8"/>
        <v/>
      </c>
      <c r="B214" s="24" t="s">
        <v>439</v>
      </c>
      <c r="C214" s="61" t="s">
        <v>398</v>
      </c>
      <c r="D214" s="58" t="s">
        <v>409</v>
      </c>
      <c r="E214" s="58">
        <v>6</v>
      </c>
      <c r="F214" s="58">
        <v>2</v>
      </c>
      <c r="G214" s="58">
        <v>1</v>
      </c>
      <c r="H214" s="58">
        <v>10</v>
      </c>
      <c r="I214" s="252" t="s">
        <v>3697</v>
      </c>
      <c r="J214" s="252" t="s">
        <v>386</v>
      </c>
      <c r="K214" s="58" t="s">
        <v>3700</v>
      </c>
      <c r="L214" s="58">
        <v>0</v>
      </c>
      <c r="M214" s="58">
        <v>3</v>
      </c>
      <c r="N214" s="58">
        <v>1870</v>
      </c>
      <c r="O214" s="58">
        <v>13</v>
      </c>
      <c r="P214" s="58" t="s">
        <v>522</v>
      </c>
      <c r="Q214" s="58">
        <v>21</v>
      </c>
      <c r="R214" s="58">
        <v>1</v>
      </c>
      <c r="S214" s="58">
        <v>0</v>
      </c>
      <c r="T214" s="58">
        <v>1</v>
      </c>
      <c r="U214" s="58" t="s">
        <v>522</v>
      </c>
    </row>
    <row r="215" spans="1:21" x14ac:dyDescent="0.3">
      <c r="A215" t="str">
        <f t="shared" si="8"/>
        <v/>
      </c>
      <c r="B215" s="24" t="s">
        <v>440</v>
      </c>
      <c r="C215" s="61" t="s">
        <v>398</v>
      </c>
      <c r="D215" s="58" t="s">
        <v>381</v>
      </c>
      <c r="E215" s="58">
        <v>6</v>
      </c>
      <c r="F215" s="58">
        <v>2</v>
      </c>
      <c r="G215" s="58">
        <v>1</v>
      </c>
      <c r="H215" s="58">
        <v>10</v>
      </c>
      <c r="I215" s="252" t="s">
        <v>3697</v>
      </c>
      <c r="J215" s="252" t="s">
        <v>386</v>
      </c>
      <c r="K215" s="58" t="s">
        <v>3700</v>
      </c>
      <c r="L215" s="58">
        <v>0</v>
      </c>
      <c r="M215" s="58">
        <v>3</v>
      </c>
      <c r="N215" s="58">
        <v>1876</v>
      </c>
      <c r="O215" s="58">
        <v>14</v>
      </c>
      <c r="P215" s="58" t="s">
        <v>522</v>
      </c>
      <c r="Q215" s="58">
        <v>21</v>
      </c>
      <c r="R215" s="58">
        <v>1</v>
      </c>
      <c r="S215" s="58">
        <v>0</v>
      </c>
      <c r="T215" s="58">
        <v>1</v>
      </c>
      <c r="U215" s="58" t="s">
        <v>522</v>
      </c>
    </row>
    <row r="216" spans="1:21" x14ac:dyDescent="0.3">
      <c r="A216" t="str">
        <f t="shared" si="8"/>
        <v/>
      </c>
      <c r="B216" s="24" t="s">
        <v>442</v>
      </c>
      <c r="C216" s="61" t="s">
        <v>398</v>
      </c>
      <c r="D216" s="58" t="s">
        <v>403</v>
      </c>
      <c r="E216" s="58">
        <v>6</v>
      </c>
      <c r="F216" s="58">
        <v>2</v>
      </c>
      <c r="G216" s="58">
        <v>1</v>
      </c>
      <c r="H216" s="58">
        <v>10</v>
      </c>
      <c r="I216" s="252" t="s">
        <v>3697</v>
      </c>
      <c r="J216" s="252" t="s">
        <v>3761</v>
      </c>
      <c r="K216" s="58" t="s">
        <v>3700</v>
      </c>
      <c r="L216" s="58">
        <v>1</v>
      </c>
      <c r="M216" s="58">
        <v>3</v>
      </c>
      <c r="N216" s="58">
        <v>1870</v>
      </c>
      <c r="O216" s="58">
        <v>13</v>
      </c>
      <c r="P216" s="58" t="s">
        <v>522</v>
      </c>
      <c r="Q216" s="58">
        <v>21</v>
      </c>
      <c r="R216" s="58">
        <v>1</v>
      </c>
      <c r="S216" s="58">
        <v>0</v>
      </c>
      <c r="T216" s="58">
        <v>1</v>
      </c>
      <c r="U216" s="58" t="s">
        <v>522</v>
      </c>
    </row>
    <row r="217" spans="1:21" x14ac:dyDescent="0.3">
      <c r="A217" t="str">
        <f t="shared" si="8"/>
        <v/>
      </c>
      <c r="B217" s="24" t="s">
        <v>444</v>
      </c>
      <c r="C217" s="61" t="s">
        <v>398</v>
      </c>
      <c r="D217" s="58" t="s">
        <v>381</v>
      </c>
      <c r="E217" s="58">
        <v>6</v>
      </c>
      <c r="F217" s="58">
        <v>2</v>
      </c>
      <c r="G217" s="58">
        <v>1</v>
      </c>
      <c r="H217" s="58">
        <v>10</v>
      </c>
      <c r="I217" s="252" t="s">
        <v>3697</v>
      </c>
      <c r="J217" s="252" t="s">
        <v>3761</v>
      </c>
      <c r="K217" s="58" t="s">
        <v>3700</v>
      </c>
      <c r="L217" s="58">
        <v>0</v>
      </c>
      <c r="M217" s="58">
        <v>3</v>
      </c>
      <c r="N217" s="58">
        <v>1876</v>
      </c>
      <c r="O217" s="58">
        <v>14</v>
      </c>
      <c r="P217" s="58" t="s">
        <v>522</v>
      </c>
      <c r="Q217" s="58">
        <v>21</v>
      </c>
      <c r="R217" s="58">
        <v>1</v>
      </c>
      <c r="S217" s="58">
        <v>0</v>
      </c>
      <c r="T217" s="58">
        <v>1</v>
      </c>
      <c r="U217" s="58" t="s">
        <v>522</v>
      </c>
    </row>
    <row r="218" spans="1:21" x14ac:dyDescent="0.3">
      <c r="A218" t="str">
        <f t="shared" si="8"/>
        <v/>
      </c>
      <c r="B218" s="24" t="s">
        <v>445</v>
      </c>
      <c r="C218" s="61" t="s">
        <v>398</v>
      </c>
      <c r="D218" s="58" t="s">
        <v>394</v>
      </c>
      <c r="E218" s="58">
        <v>6</v>
      </c>
      <c r="F218" s="58">
        <v>2</v>
      </c>
      <c r="G218" s="58">
        <v>1</v>
      </c>
      <c r="H218" s="58">
        <v>10</v>
      </c>
      <c r="I218" s="252" t="s">
        <v>3697</v>
      </c>
      <c r="J218" s="252" t="s">
        <v>386</v>
      </c>
      <c r="K218" s="58" t="s">
        <v>386</v>
      </c>
      <c r="L218" s="58">
        <v>1</v>
      </c>
      <c r="M218" s="58">
        <v>1</v>
      </c>
      <c r="N218" s="58">
        <v>1851</v>
      </c>
      <c r="O218" s="58">
        <v>10</v>
      </c>
      <c r="P218" s="58" t="s">
        <v>522</v>
      </c>
      <c r="Q218" s="58">
        <v>21</v>
      </c>
      <c r="R218" s="58">
        <v>1</v>
      </c>
      <c r="S218" s="58">
        <v>0</v>
      </c>
      <c r="T218" s="58">
        <v>1</v>
      </c>
      <c r="U218" s="58" t="s">
        <v>446</v>
      </c>
    </row>
    <row r="219" spans="1:21" x14ac:dyDescent="0.3">
      <c r="A219" t="str">
        <f t="shared" si="8"/>
        <v/>
      </c>
      <c r="B219" s="24" t="s">
        <v>3706</v>
      </c>
      <c r="C219" s="61" t="s">
        <v>498</v>
      </c>
      <c r="D219" s="58">
        <v>12</v>
      </c>
      <c r="E219" s="58">
        <v>2</v>
      </c>
      <c r="F219" s="58">
        <v>2</v>
      </c>
      <c r="G219" s="58">
        <v>1</v>
      </c>
      <c r="H219" s="58">
        <v>10</v>
      </c>
      <c r="I219" s="252" t="s">
        <v>3697</v>
      </c>
      <c r="J219" s="252" t="s">
        <v>3777</v>
      </c>
      <c r="K219" s="58" t="s">
        <v>3716</v>
      </c>
      <c r="L219" s="58">
        <v>0</v>
      </c>
      <c r="M219" s="58">
        <v>4</v>
      </c>
      <c r="N219" s="58">
        <v>1850</v>
      </c>
      <c r="O219" s="58">
        <v>35</v>
      </c>
      <c r="P219" s="58" t="s">
        <v>522</v>
      </c>
      <c r="Q219" s="58">
        <v>21</v>
      </c>
      <c r="R219" s="58">
        <v>4</v>
      </c>
      <c r="S219" s="58">
        <v>0</v>
      </c>
      <c r="T219" s="58" t="s">
        <v>522</v>
      </c>
      <c r="U219" s="254" t="s">
        <v>3704</v>
      </c>
    </row>
    <row r="220" spans="1:21" x14ac:dyDescent="0.3">
      <c r="A220" t="str">
        <f t="shared" si="8"/>
        <v/>
      </c>
      <c r="B220" s="24" t="s">
        <v>3705</v>
      </c>
      <c r="C220" s="61" t="s">
        <v>498</v>
      </c>
      <c r="D220" s="58">
        <v>12</v>
      </c>
      <c r="E220" s="58">
        <v>1</v>
      </c>
      <c r="F220" s="58">
        <v>2</v>
      </c>
      <c r="G220" s="58">
        <v>1</v>
      </c>
      <c r="H220" s="58">
        <v>10</v>
      </c>
      <c r="I220" s="252" t="s">
        <v>3697</v>
      </c>
      <c r="J220" s="252" t="s">
        <v>3777</v>
      </c>
      <c r="K220" s="58" t="s">
        <v>3716</v>
      </c>
      <c r="L220" s="58">
        <v>0</v>
      </c>
      <c r="M220" s="58">
        <v>4</v>
      </c>
      <c r="N220" s="58">
        <v>1850</v>
      </c>
      <c r="O220" s="58">
        <v>25</v>
      </c>
      <c r="P220" s="58" t="s">
        <v>522</v>
      </c>
      <c r="Q220" s="58">
        <v>21</v>
      </c>
      <c r="R220" s="58">
        <v>3</v>
      </c>
      <c r="S220" s="58">
        <v>0</v>
      </c>
      <c r="T220" s="58" t="s">
        <v>522</v>
      </c>
      <c r="U220" s="254" t="s">
        <v>3704</v>
      </c>
    </row>
    <row r="221" spans="1:21" x14ac:dyDescent="0.3">
      <c r="A221" t="str">
        <f t="shared" si="8"/>
        <v/>
      </c>
      <c r="B221" s="24" t="s">
        <v>517</v>
      </c>
      <c r="C221" s="61" t="s">
        <v>498</v>
      </c>
      <c r="D221" s="58">
        <v>12</v>
      </c>
      <c r="E221" s="58">
        <v>2</v>
      </c>
      <c r="F221" s="58">
        <v>2</v>
      </c>
      <c r="G221" s="58">
        <v>1</v>
      </c>
      <c r="H221" s="58">
        <v>5</v>
      </c>
      <c r="I221" s="252" t="s">
        <v>3708</v>
      </c>
      <c r="J221" s="252" t="s">
        <v>3777</v>
      </c>
      <c r="K221" s="58" t="s">
        <v>3716</v>
      </c>
      <c r="L221" s="58">
        <v>1</v>
      </c>
      <c r="M221" s="58">
        <v>3</v>
      </c>
      <c r="N221" s="58">
        <v>1850</v>
      </c>
      <c r="O221" s="58">
        <v>35</v>
      </c>
      <c r="P221" s="58" t="s">
        <v>522</v>
      </c>
      <c r="Q221" s="58">
        <v>21</v>
      </c>
      <c r="R221" s="58">
        <v>3.2</v>
      </c>
      <c r="S221" s="58">
        <v>0</v>
      </c>
      <c r="T221" s="58" t="s">
        <v>522</v>
      </c>
      <c r="U221" s="254" t="s">
        <v>3704</v>
      </c>
    </row>
    <row r="222" spans="1:21" x14ac:dyDescent="0.3">
      <c r="A222" t="str">
        <f t="shared" si="8"/>
        <v/>
      </c>
      <c r="B222" s="24" t="s">
        <v>518</v>
      </c>
      <c r="C222" s="61" t="s">
        <v>498</v>
      </c>
      <c r="D222" s="58">
        <v>12</v>
      </c>
      <c r="E222" s="58">
        <v>5</v>
      </c>
      <c r="F222" s="58">
        <v>2</v>
      </c>
      <c r="G222" s="58">
        <v>1</v>
      </c>
      <c r="H222" s="58">
        <v>10</v>
      </c>
      <c r="I222" s="252" t="s">
        <v>3697</v>
      </c>
      <c r="J222" s="252" t="s">
        <v>3777</v>
      </c>
      <c r="K222" s="58" t="s">
        <v>3716</v>
      </c>
      <c r="L222" s="58">
        <v>0</v>
      </c>
      <c r="M222" s="58">
        <v>4</v>
      </c>
      <c r="N222" s="58">
        <v>1850</v>
      </c>
      <c r="O222" s="58">
        <v>45</v>
      </c>
      <c r="P222" s="58" t="s">
        <v>522</v>
      </c>
      <c r="Q222" s="58">
        <v>21</v>
      </c>
      <c r="R222" s="58">
        <v>5</v>
      </c>
      <c r="S222" s="58">
        <v>6</v>
      </c>
      <c r="T222" s="58" t="s">
        <v>522</v>
      </c>
      <c r="U222" s="254" t="s">
        <v>3704</v>
      </c>
    </row>
    <row r="223" spans="1:21" x14ac:dyDescent="0.3">
      <c r="A223" t="str">
        <f t="shared" si="8"/>
        <v/>
      </c>
      <c r="B223" s="24" t="s">
        <v>3707</v>
      </c>
      <c r="C223" s="61" t="s">
        <v>498</v>
      </c>
      <c r="D223" s="58">
        <v>12</v>
      </c>
      <c r="E223" s="58">
        <v>4</v>
      </c>
      <c r="F223" s="58">
        <v>2</v>
      </c>
      <c r="G223" s="58">
        <v>1</v>
      </c>
      <c r="H223" s="58">
        <v>10</v>
      </c>
      <c r="I223" s="252" t="s">
        <v>3697</v>
      </c>
      <c r="J223" s="252" t="s">
        <v>3777</v>
      </c>
      <c r="K223" s="58" t="s">
        <v>3716</v>
      </c>
      <c r="L223" s="58">
        <v>0</v>
      </c>
      <c r="M223" s="58">
        <v>4</v>
      </c>
      <c r="N223" s="58">
        <v>1850</v>
      </c>
      <c r="O223" s="58">
        <v>35</v>
      </c>
      <c r="P223" s="58" t="s">
        <v>522</v>
      </c>
      <c r="Q223" s="58">
        <v>21</v>
      </c>
      <c r="R223" s="58">
        <v>4</v>
      </c>
      <c r="S223" s="58">
        <v>0</v>
      </c>
      <c r="T223" s="58" t="s">
        <v>522</v>
      </c>
      <c r="U223" s="58" t="s">
        <v>3709</v>
      </c>
    </row>
    <row r="224" spans="1:21" x14ac:dyDescent="0.3">
      <c r="A224" t="str">
        <f t="shared" si="8"/>
        <v>Atl-atl</v>
      </c>
      <c r="B224" s="24" t="s">
        <v>2467</v>
      </c>
      <c r="C224" s="61" t="s">
        <v>525</v>
      </c>
      <c r="D224" s="58" t="s">
        <v>522</v>
      </c>
      <c r="E224" s="58">
        <v>1</v>
      </c>
      <c r="F224" s="58">
        <v>2</v>
      </c>
      <c r="G224" s="58">
        <v>1</v>
      </c>
      <c r="H224" s="58">
        <v>10</v>
      </c>
      <c r="I224" s="252" t="s">
        <v>3697</v>
      </c>
      <c r="J224" s="58" t="str">
        <f>CONCATENATE('Perso Classic'!$C$50,"d",déForce,"+ 1d8")</f>
        <v>d0+ 1d8</v>
      </c>
      <c r="K224" s="58" t="str">
        <f>CONCATENATE(IF('Perso Classic'!$C$50="",'Perso Reloaded'!$C$14,IF('Perso Reloaded'!$C$14="",'Perso Classic'!$C$50,"")),"d",IF(déForce="",'Perso Reloaded'!$E$14,IF('Perso Reloaded'!$E$14="",déForce,"")),"+ 1d8")</f>
        <v>d0+ 1d8</v>
      </c>
      <c r="L224" s="58">
        <v>0</v>
      </c>
      <c r="M224" s="58">
        <v>2</v>
      </c>
      <c r="N224" s="58">
        <v>0</v>
      </c>
      <c r="O224" s="58">
        <v>3</v>
      </c>
      <c r="P224" s="58" t="s">
        <v>522</v>
      </c>
      <c r="Q224" s="58">
        <v>21</v>
      </c>
      <c r="R224" s="58">
        <v>1</v>
      </c>
      <c r="S224" s="58">
        <v>0</v>
      </c>
      <c r="T224" s="58" t="s">
        <v>522</v>
      </c>
      <c r="U224" s="58" t="s">
        <v>522</v>
      </c>
    </row>
    <row r="225" spans="1:21" x14ac:dyDescent="0.3">
      <c r="A225" t="str">
        <f t="shared" si="8"/>
        <v>Arc à flèche</v>
      </c>
      <c r="B225" s="24" t="s">
        <v>526</v>
      </c>
      <c r="C225" s="61" t="s">
        <v>525</v>
      </c>
      <c r="D225" s="58" t="s">
        <v>522</v>
      </c>
      <c r="E225" s="58">
        <v>1</v>
      </c>
      <c r="F225" s="58">
        <v>2</v>
      </c>
      <c r="G225" s="58">
        <v>1</v>
      </c>
      <c r="H225" s="58">
        <v>10</v>
      </c>
      <c r="I225" s="252" t="s">
        <v>3697</v>
      </c>
      <c r="J225" s="58" t="str">
        <f>CONCATENATE('Perso Classic'!$C$50,"d",déForce,"+ 1d6")</f>
        <v>d0+ 1d6</v>
      </c>
      <c r="K225" s="58" t="s">
        <v>386</v>
      </c>
      <c r="L225" s="58">
        <v>-1</v>
      </c>
      <c r="M225" s="58">
        <v>4</v>
      </c>
      <c r="N225" s="58">
        <v>-20000</v>
      </c>
      <c r="O225" s="58">
        <v>3</v>
      </c>
      <c r="P225" s="58" t="s">
        <v>522</v>
      </c>
      <c r="Q225" s="58">
        <v>21</v>
      </c>
      <c r="R225" s="58">
        <v>1</v>
      </c>
      <c r="S225" s="58">
        <v>0</v>
      </c>
      <c r="T225" s="58" t="s">
        <v>522</v>
      </c>
      <c r="U225" s="58" t="s">
        <v>522</v>
      </c>
    </row>
    <row r="226" spans="1:21" x14ac:dyDescent="0.3">
      <c r="A226" t="str">
        <f t="shared" si="8"/>
        <v>Bolas</v>
      </c>
      <c r="B226" s="24" t="s">
        <v>527</v>
      </c>
      <c r="C226" s="61" t="s">
        <v>525</v>
      </c>
      <c r="D226" s="58" t="s">
        <v>522</v>
      </c>
      <c r="E226" s="58">
        <v>1</v>
      </c>
      <c r="F226" s="58">
        <v>2</v>
      </c>
      <c r="G226" s="58">
        <v>1</v>
      </c>
      <c r="H226" s="58">
        <v>5</v>
      </c>
      <c r="I226" s="252" t="s">
        <v>3710</v>
      </c>
      <c r="J226" s="58" t="str">
        <f>CONCATENATE('Perso Classic'!$C$50,"d",déForce,"+ 1d4")</f>
        <v>d0+ 1d4</v>
      </c>
      <c r="K226" s="58" t="str">
        <f>CONCATENATE('Perso Reloaded'!$C$14,"d",'Perso Reloaded'!$E$14," +1")</f>
        <v>d +1</v>
      </c>
      <c r="L226" s="58">
        <v>-2</v>
      </c>
      <c r="M226" s="58">
        <v>2</v>
      </c>
      <c r="N226" s="58">
        <v>0</v>
      </c>
      <c r="O226" s="58">
        <v>3</v>
      </c>
      <c r="P226" s="58" t="s">
        <v>522</v>
      </c>
      <c r="Q226" s="58">
        <v>21</v>
      </c>
      <c r="R226" s="58">
        <v>0.25</v>
      </c>
      <c r="S226" s="58">
        <v>0</v>
      </c>
      <c r="T226" s="58" t="s">
        <v>522</v>
      </c>
      <c r="U226" s="58" t="s">
        <v>522</v>
      </c>
    </row>
    <row r="227" spans="1:21" x14ac:dyDescent="0.3">
      <c r="A227" t="str">
        <f t="shared" si="8"/>
        <v>Couteau de lancer</v>
      </c>
      <c r="B227" s="24" t="s">
        <v>4757</v>
      </c>
      <c r="C227" s="61" t="s">
        <v>525</v>
      </c>
      <c r="D227" s="58" t="s">
        <v>522</v>
      </c>
      <c r="E227" s="58">
        <v>1</v>
      </c>
      <c r="F227" s="58">
        <v>1</v>
      </c>
      <c r="G227" s="58">
        <v>1</v>
      </c>
      <c r="H227" s="58">
        <v>5</v>
      </c>
      <c r="I227" s="252" t="s">
        <v>3712</v>
      </c>
      <c r="J227" s="58" t="str">
        <f>CONCATENATE('Perso Classic'!$C$50,"d",déForce,"+ 1d6")</f>
        <v>d0+ 1d6</v>
      </c>
      <c r="K227" s="58" t="str">
        <f>CONCATENATE('Perso Reloaded'!$C$14,"d",'Perso Reloaded'!$E$14)</f>
        <v>d</v>
      </c>
      <c r="L227" s="58">
        <v>0</v>
      </c>
      <c r="M227" s="58">
        <v>2</v>
      </c>
      <c r="N227" s="58">
        <v>0</v>
      </c>
      <c r="O227" s="58">
        <v>3</v>
      </c>
      <c r="P227" s="58" t="s">
        <v>522</v>
      </c>
      <c r="Q227" s="58">
        <v>21</v>
      </c>
      <c r="R227" s="58">
        <v>0.5</v>
      </c>
      <c r="S227" s="58">
        <v>0</v>
      </c>
      <c r="T227" s="58" t="s">
        <v>522</v>
      </c>
      <c r="U227" s="58" t="s">
        <v>522</v>
      </c>
    </row>
    <row r="228" spans="1:21" x14ac:dyDescent="0.3">
      <c r="A228" t="str">
        <f t="shared" si="8"/>
        <v>Flèchette</v>
      </c>
      <c r="B228" s="24" t="s">
        <v>2111</v>
      </c>
      <c r="C228" s="61" t="s">
        <v>525</v>
      </c>
      <c r="D228" s="58" t="s">
        <v>522</v>
      </c>
      <c r="E228" s="58">
        <v>1</v>
      </c>
      <c r="F228" s="58">
        <v>1</v>
      </c>
      <c r="G228" s="58">
        <v>1</v>
      </c>
      <c r="H228" s="58">
        <v>10</v>
      </c>
      <c r="I228" s="252" t="s">
        <v>3697</v>
      </c>
      <c r="J228" s="58" t="str">
        <f>CONCATENATE('Perso Classic'!$C$50,"d",déForce,"+ 1d4")</f>
        <v>d0+ 1d4</v>
      </c>
      <c r="K228" s="58" t="str">
        <f>CONCATENATE('Perso Reloaded'!$C$14,"d",'Perso Reloaded'!$E$14," +1d4")</f>
        <v>d +1d4</v>
      </c>
      <c r="L228" s="58">
        <v>0</v>
      </c>
      <c r="M228" s="58">
        <v>2</v>
      </c>
      <c r="N228" s="58">
        <v>0</v>
      </c>
      <c r="O228" s="58">
        <v>3</v>
      </c>
      <c r="P228" s="58" t="s">
        <v>522</v>
      </c>
      <c r="Q228" s="58">
        <v>21</v>
      </c>
      <c r="R228" s="58">
        <v>0.1</v>
      </c>
      <c r="S228" s="58">
        <v>0</v>
      </c>
      <c r="T228" s="58" t="s">
        <v>522</v>
      </c>
      <c r="U228" s="58" t="s">
        <v>522</v>
      </c>
    </row>
    <row r="229" spans="1:21" x14ac:dyDescent="0.3">
      <c r="A229" t="str">
        <f t="shared" si="8"/>
        <v>Lance lancée</v>
      </c>
      <c r="B229" s="24" t="s">
        <v>528</v>
      </c>
      <c r="C229" s="61" t="s">
        <v>525</v>
      </c>
      <c r="D229" s="58" t="s">
        <v>522</v>
      </c>
      <c r="E229" s="58">
        <v>1</v>
      </c>
      <c r="F229" s="58">
        <v>1</v>
      </c>
      <c r="G229" s="58">
        <v>1</v>
      </c>
      <c r="H229" s="58">
        <v>5</v>
      </c>
      <c r="I229" s="252" t="s">
        <v>3712</v>
      </c>
      <c r="J229" s="58" t="str">
        <f>CONCATENATE('Perso Classic'!$C$50,"d",déForce,"+ 2d6")</f>
        <v>d0+ 2d6</v>
      </c>
      <c r="K229" s="58" t="str">
        <f>CONCATENATE('Perso Reloaded'!$C$14,"d",'Perso Reloaded'!$E$14," +1d6")</f>
        <v>d +1d6</v>
      </c>
      <c r="L229" s="58">
        <v>0</v>
      </c>
      <c r="M229" s="58">
        <v>5</v>
      </c>
      <c r="N229" s="58">
        <v>0</v>
      </c>
      <c r="O229" s="58">
        <v>3</v>
      </c>
      <c r="P229" s="58" t="s">
        <v>522</v>
      </c>
      <c r="Q229" s="58">
        <v>21</v>
      </c>
      <c r="R229" s="58">
        <v>2.5</v>
      </c>
      <c r="S229" s="58">
        <v>0</v>
      </c>
      <c r="T229" s="58" t="s">
        <v>522</v>
      </c>
      <c r="U229" s="58" t="s">
        <v>3713</v>
      </c>
    </row>
    <row r="230" spans="1:21" x14ac:dyDescent="0.3">
      <c r="A230" t="str">
        <f t="shared" si="8"/>
        <v>Tomahawk lancé</v>
      </c>
      <c r="B230" s="24" t="s">
        <v>529</v>
      </c>
      <c r="C230" s="61" t="s">
        <v>525</v>
      </c>
      <c r="D230" s="58" t="s">
        <v>522</v>
      </c>
      <c r="E230" s="58">
        <v>1</v>
      </c>
      <c r="F230" s="58">
        <v>1</v>
      </c>
      <c r="G230" s="58">
        <v>1</v>
      </c>
      <c r="H230" s="58">
        <v>5</v>
      </c>
      <c r="I230" s="252" t="s">
        <v>3712</v>
      </c>
      <c r="J230" s="58" t="str">
        <f>CONCATENATE('Perso Classic'!$C$50,"d",déForce,"+ 2d6")</f>
        <v>d0+ 2d6</v>
      </c>
      <c r="K230" s="58" t="str">
        <f>CONCATENATE('Perso Reloaded'!$C$14,"d",'Perso Reloaded'!$E$14," +1d6")</f>
        <v>d +1d6</v>
      </c>
      <c r="L230" s="58">
        <v>0</v>
      </c>
      <c r="M230" s="58">
        <v>3</v>
      </c>
      <c r="N230" s="58">
        <v>0</v>
      </c>
      <c r="O230" s="58">
        <v>3</v>
      </c>
      <c r="P230" s="58" t="s">
        <v>522</v>
      </c>
      <c r="Q230" s="58">
        <v>21</v>
      </c>
      <c r="R230" s="58">
        <v>2</v>
      </c>
      <c r="S230" s="58">
        <v>0</v>
      </c>
      <c r="T230" s="58" t="s">
        <v>522</v>
      </c>
      <c r="U230" s="58" t="s">
        <v>522</v>
      </c>
    </row>
  </sheetData>
  <sortState xmlns:xlrd2="http://schemas.microsoft.com/office/spreadsheetml/2017/richdata2" ref="B2:P171">
    <sortCondition ref="C2:C171"/>
    <sortCondition ref="B2:B171"/>
  </sortState>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tabColor rgb="FFFF0000"/>
  </sheetPr>
  <dimension ref="A1:Q113"/>
  <sheetViews>
    <sheetView workbookViewId="0">
      <pane ySplit="1" topLeftCell="A2" activePane="bottomLeft" state="frozen"/>
      <selection pane="bottomLeft"/>
    </sheetView>
  </sheetViews>
  <sheetFormatPr baseColWidth="10" defaultRowHeight="14.4" x14ac:dyDescent="0.3"/>
  <cols>
    <col min="1" max="1" width="34.44140625" customWidth="1"/>
    <col min="2" max="2" width="36.44140625" customWidth="1"/>
    <col min="3" max="4" width="4.44140625" style="58" customWidth="1"/>
    <col min="5" max="5" width="9.33203125" style="58" customWidth="1"/>
    <col min="6" max="6" width="11.88671875" style="217" customWidth="1"/>
    <col min="7" max="7" width="11.6640625" style="308" customWidth="1"/>
    <col min="8" max="15" width="7.33203125" customWidth="1"/>
    <col min="16" max="16" width="91.44140625" style="312" customWidth="1"/>
  </cols>
  <sheetData>
    <row r="1" spans="1:17" ht="20.399999999999999" x14ac:dyDescent="0.3">
      <c r="A1" s="295" t="s">
        <v>0</v>
      </c>
      <c r="B1" s="295"/>
      <c r="C1" s="294" t="s">
        <v>3756</v>
      </c>
      <c r="D1" s="294"/>
      <c r="E1" s="294" t="s">
        <v>3990</v>
      </c>
      <c r="F1" s="297" t="s">
        <v>957</v>
      </c>
      <c r="G1" s="295" t="s">
        <v>951</v>
      </c>
      <c r="H1" s="298" t="s">
        <v>4031</v>
      </c>
      <c r="I1" s="298" t="s">
        <v>4032</v>
      </c>
      <c r="J1" s="298" t="s">
        <v>4033</v>
      </c>
      <c r="K1" s="299" t="s">
        <v>5231</v>
      </c>
      <c r="L1" s="299" t="s">
        <v>4034</v>
      </c>
      <c r="M1" s="299" t="s">
        <v>5121</v>
      </c>
      <c r="N1" s="299" t="s">
        <v>4035</v>
      </c>
      <c r="O1" s="299" t="s">
        <v>4036</v>
      </c>
      <c r="P1" s="311" t="s">
        <v>3991</v>
      </c>
      <c r="Q1" s="299" t="s">
        <v>215</v>
      </c>
    </row>
    <row r="2" spans="1:17" x14ac:dyDescent="0.3">
      <c r="A2" t="s">
        <v>4046</v>
      </c>
      <c r="B2" t="str">
        <f>IF(Primes&lt;D2,"",IF(OR(AND(H2=TRUE,chaman=TRUE),AND(I2=TRUE,croyant=TRUE),AND(J2=TRUE,occulte=TRUE),AND(L2=TRUE,sciencefolle=TRUE),AND(N2=TRUE,Illumination=TRUE),AND(O2=TRUE,vaudou=TRUE)),A2,""))</f>
        <v/>
      </c>
      <c r="C2" s="58" t="s">
        <v>3754</v>
      </c>
      <c r="D2" s="58">
        <f>VLOOKUP(C2,Tableaux!$BS:$BU,3,FALSE)</f>
        <v>0</v>
      </c>
      <c r="E2" s="58">
        <v>2</v>
      </c>
      <c r="F2" s="217" t="s">
        <v>3994</v>
      </c>
      <c r="G2" s="308" t="s">
        <v>4047</v>
      </c>
      <c r="H2" t="b">
        <v>1</v>
      </c>
      <c r="I2" t="b">
        <v>1</v>
      </c>
      <c r="J2" t="b">
        <v>1</v>
      </c>
      <c r="K2" t="b">
        <v>1</v>
      </c>
      <c r="L2" t="b">
        <v>1</v>
      </c>
      <c r="M2" t="b">
        <v>1</v>
      </c>
      <c r="N2" t="b">
        <v>1</v>
      </c>
      <c r="O2" t="b">
        <v>1</v>
      </c>
      <c r="P2" s="312" t="s">
        <v>4048</v>
      </c>
      <c r="Q2" t="s">
        <v>4113</v>
      </c>
    </row>
    <row r="3" spans="1:17" x14ac:dyDescent="0.3">
      <c r="A3" t="s">
        <v>4183</v>
      </c>
      <c r="B3" t="str">
        <f>IF(Primes&lt;D3,"",IF(OR(AND(H3=TRUE,chaman=TRUE),AND(I3=TRUE,croyant=TRUE),AND(J3=TRUE,occulte=TRUE),AND(L3=TRUE,sciencefolle=TRUE),AND(N3=TRUE,Illumination=TRUE),AND(O3=TRUE,vaudou=TRUE)),A3,""))</f>
        <v/>
      </c>
      <c r="C3" s="58" t="s">
        <v>3754</v>
      </c>
      <c r="D3" s="58">
        <f>VLOOKUP(C3,Tableaux!$BS:$BU,3,FALSE)</f>
        <v>0</v>
      </c>
      <c r="E3" s="58">
        <v>2</v>
      </c>
      <c r="F3" s="217" t="s">
        <v>3994</v>
      </c>
      <c r="G3" s="308" t="s">
        <v>4184</v>
      </c>
      <c r="H3" t="b">
        <v>0</v>
      </c>
      <c r="I3" t="b">
        <v>0</v>
      </c>
      <c r="J3" t="b">
        <v>1</v>
      </c>
      <c r="K3" t="b">
        <v>1</v>
      </c>
      <c r="L3" t="b">
        <v>1</v>
      </c>
      <c r="M3" t="b">
        <v>0</v>
      </c>
      <c r="N3" t="b">
        <v>1</v>
      </c>
      <c r="O3" t="b">
        <v>1</v>
      </c>
      <c r="P3" s="312" t="s">
        <v>4193</v>
      </c>
      <c r="Q3" t="s">
        <v>4351</v>
      </c>
    </row>
    <row r="4" spans="1:17" x14ac:dyDescent="0.3">
      <c r="A4" t="s">
        <v>3974</v>
      </c>
      <c r="B4" t="str">
        <f>IF(Primes&lt;D4,"",IF(OR(AND(H4=TRUE,chaman=TRUE),AND(I4=TRUE,croyant=TRUE),AND(J4=TRUE,occulte=TRUE),AND(L4=TRUE,sciencefolle=TRUE),AND(N4=TRUE,Illumination=TRUE),AND(O4=TRUE,vaudou=TRUE),Nature=TRUE),A4,""))</f>
        <v/>
      </c>
      <c r="C4" s="58" t="s">
        <v>3754</v>
      </c>
      <c r="D4" s="58">
        <f>VLOOKUP(C4,Tableaux!$BS:$BU,3,FALSE)</f>
        <v>0</v>
      </c>
      <c r="E4" s="58" t="s">
        <v>4018</v>
      </c>
      <c r="F4" s="217" t="str">
        <f>CONCATENATE(déIntellect*100,"m")</f>
        <v>0m</v>
      </c>
      <c r="G4" s="308" t="s">
        <v>1740</v>
      </c>
      <c r="H4" t="b">
        <v>1</v>
      </c>
      <c r="I4" t="b">
        <v>1</v>
      </c>
      <c r="J4" t="b">
        <v>1</v>
      </c>
      <c r="K4" t="b">
        <v>1</v>
      </c>
      <c r="L4" t="b">
        <v>1</v>
      </c>
      <c r="M4" t="b">
        <v>1</v>
      </c>
      <c r="N4" t="b">
        <v>1</v>
      </c>
      <c r="O4" t="b">
        <v>1</v>
      </c>
      <c r="P4" s="312" t="s">
        <v>4049</v>
      </c>
      <c r="Q4" t="s">
        <v>4113</v>
      </c>
    </row>
    <row r="5" spans="1:17" x14ac:dyDescent="0.3">
      <c r="A5" t="s">
        <v>5120</v>
      </c>
      <c r="C5" s="58" t="s">
        <v>3754</v>
      </c>
      <c r="D5" s="58">
        <f>VLOOKUP(C5,Tableaux!$BS:$BU,3,FALSE)</f>
        <v>0</v>
      </c>
      <c r="E5" s="58">
        <v>1</v>
      </c>
      <c r="F5" s="217" t="s">
        <v>3994</v>
      </c>
      <c r="G5" s="308" t="s">
        <v>1740</v>
      </c>
      <c r="H5" t="b">
        <v>1</v>
      </c>
      <c r="I5" t="b">
        <v>1</v>
      </c>
      <c r="J5" t="b">
        <v>0</v>
      </c>
      <c r="K5" t="b">
        <v>0</v>
      </c>
      <c r="L5" t="b">
        <v>1</v>
      </c>
      <c r="M5" t="b">
        <v>1</v>
      </c>
      <c r="N5" t="b">
        <v>1</v>
      </c>
      <c r="O5" t="b">
        <v>0</v>
      </c>
      <c r="P5" s="312" t="s">
        <v>5122</v>
      </c>
      <c r="Q5" t="s">
        <v>5123</v>
      </c>
    </row>
    <row r="6" spans="1:17" x14ac:dyDescent="0.3">
      <c r="A6" t="s">
        <v>3556</v>
      </c>
      <c r="B6" t="str">
        <f>IF(Vérif_Détérré="X",A6,"")</f>
        <v/>
      </c>
      <c r="C6" s="58" t="s">
        <v>3754</v>
      </c>
      <c r="D6" s="58">
        <f>VLOOKUP(C6,Tableaux!$BS:$BU,3,FALSE)</f>
        <v>0</v>
      </c>
      <c r="E6" s="58" t="s">
        <v>522</v>
      </c>
      <c r="F6" s="217" t="s">
        <v>1731</v>
      </c>
      <c r="G6" s="308" t="s">
        <v>4041</v>
      </c>
      <c r="H6" t="b">
        <v>0</v>
      </c>
      <c r="I6" t="b">
        <v>0</v>
      </c>
      <c r="J6" t="b">
        <v>0</v>
      </c>
      <c r="K6" t="b">
        <v>0</v>
      </c>
      <c r="L6" t="b">
        <v>0</v>
      </c>
      <c r="M6" t="b">
        <v>0</v>
      </c>
      <c r="N6" t="b">
        <v>0</v>
      </c>
      <c r="O6" t="b">
        <v>0</v>
      </c>
      <c r="P6" s="312" t="s">
        <v>4117</v>
      </c>
      <c r="Q6" t="s">
        <v>4116</v>
      </c>
    </row>
    <row r="7" spans="1:17" x14ac:dyDescent="0.3">
      <c r="A7" t="s">
        <v>3975</v>
      </c>
      <c r="B7" t="str">
        <f t="shared" ref="B7:B33" si="0">IF(Primes&lt;D7,"",IF(OR(AND(H7=TRUE,chaman=TRUE),AND(I7=TRUE,croyant=TRUE),AND(J7=TRUE,occulte=TRUE),AND(L7=TRUE,sciencefolle=TRUE),AND(N7=TRUE,Illumination=TRUE),AND(O7=TRUE,vaudou=TRUE)),A7,""))</f>
        <v/>
      </c>
      <c r="C7" s="58" t="s">
        <v>3754</v>
      </c>
      <c r="D7" s="58">
        <f>VLOOKUP(C7,Tableaux!$BS:$BU,3,FALSE)</f>
        <v>0</v>
      </c>
      <c r="E7" s="58">
        <v>2</v>
      </c>
      <c r="F7" s="217" t="s">
        <v>3994</v>
      </c>
      <c r="G7" s="308" t="s">
        <v>4184</v>
      </c>
      <c r="H7" t="b">
        <v>1</v>
      </c>
      <c r="I7" t="b">
        <v>1</v>
      </c>
      <c r="J7" t="b">
        <v>1</v>
      </c>
      <c r="K7" t="b">
        <v>1</v>
      </c>
      <c r="L7" t="b">
        <v>1</v>
      </c>
      <c r="M7" t="b">
        <v>1</v>
      </c>
      <c r="N7" t="b">
        <v>1</v>
      </c>
      <c r="O7" t="b">
        <v>1</v>
      </c>
      <c r="P7" s="312" t="s">
        <v>4050</v>
      </c>
      <c r="Q7" t="s">
        <v>4111</v>
      </c>
    </row>
    <row r="8" spans="1:17" x14ac:dyDescent="0.3">
      <c r="A8" t="s">
        <v>4039</v>
      </c>
      <c r="B8" t="str">
        <f t="shared" si="0"/>
        <v/>
      </c>
      <c r="C8" s="58" t="s">
        <v>3754</v>
      </c>
      <c r="D8" s="58">
        <f>VLOOKUP(C8,Tableaux!$BS:$BU,3,FALSE)</f>
        <v>0</v>
      </c>
      <c r="E8" s="58">
        <v>2</v>
      </c>
      <c r="F8" s="217">
        <f>déIntellect</f>
        <v>0</v>
      </c>
      <c r="G8" s="308" t="s">
        <v>4184</v>
      </c>
      <c r="H8" t="b">
        <v>1</v>
      </c>
      <c r="I8" t="b">
        <v>1</v>
      </c>
      <c r="J8" t="b">
        <v>1</v>
      </c>
      <c r="K8" t="b">
        <v>0</v>
      </c>
      <c r="L8" t="b">
        <v>1</v>
      </c>
      <c r="M8" t="b">
        <v>1</v>
      </c>
      <c r="N8" t="b">
        <v>1</v>
      </c>
      <c r="O8" t="b">
        <v>1</v>
      </c>
      <c r="P8" s="312" t="s">
        <v>4118</v>
      </c>
      <c r="Q8" t="s">
        <v>4111</v>
      </c>
    </row>
    <row r="9" spans="1:17" x14ac:dyDescent="0.3">
      <c r="A9" t="s">
        <v>4194</v>
      </c>
      <c r="B9" t="str">
        <f t="shared" si="0"/>
        <v/>
      </c>
      <c r="C9" s="58" t="s">
        <v>3754</v>
      </c>
      <c r="D9" s="58">
        <f>VLOOKUP(C9,Tableaux!$BS:$BU,3,FALSE)</f>
        <v>0</v>
      </c>
      <c r="E9" s="58" t="s">
        <v>2558</v>
      </c>
      <c r="F9" s="217">
        <f>déIntellect</f>
        <v>0</v>
      </c>
      <c r="G9" s="308" t="s">
        <v>4041</v>
      </c>
      <c r="H9" t="b">
        <v>1</v>
      </c>
      <c r="I9" t="b">
        <v>1</v>
      </c>
      <c r="J9" t="b">
        <v>1</v>
      </c>
      <c r="K9" t="b">
        <v>0</v>
      </c>
      <c r="L9" t="b">
        <v>1</v>
      </c>
      <c r="M9" t="b">
        <v>1</v>
      </c>
      <c r="N9" t="b">
        <v>1</v>
      </c>
      <c r="O9" t="b">
        <v>1</v>
      </c>
      <c r="P9" s="312" t="s">
        <v>4195</v>
      </c>
      <c r="Q9" t="s">
        <v>4352</v>
      </c>
    </row>
    <row r="10" spans="1:17" x14ac:dyDescent="0.3">
      <c r="A10" t="s">
        <v>3995</v>
      </c>
      <c r="B10" t="str">
        <f t="shared" si="0"/>
        <v/>
      </c>
      <c r="C10" s="58" t="s">
        <v>3751</v>
      </c>
      <c r="D10" s="58">
        <f>VLOOKUP(C10,Tableaux!$BS:$BU,3,FALSE)</f>
        <v>20</v>
      </c>
      <c r="E10" s="58" t="s">
        <v>3996</v>
      </c>
      <c r="F10" s="217">
        <f>déIntellect</f>
        <v>0</v>
      </c>
      <c r="G10" s="308" t="s">
        <v>4184</v>
      </c>
      <c r="H10" t="b">
        <v>0</v>
      </c>
      <c r="I10" t="b">
        <v>1</v>
      </c>
      <c r="J10" t="b">
        <v>1</v>
      </c>
      <c r="K10" t="b">
        <v>0</v>
      </c>
      <c r="L10" t="b">
        <v>1</v>
      </c>
      <c r="M10" t="b">
        <v>1</v>
      </c>
      <c r="N10" t="b">
        <v>0</v>
      </c>
      <c r="O10" t="b">
        <v>1</v>
      </c>
      <c r="P10" s="312" t="s">
        <v>4051</v>
      </c>
      <c r="Q10" t="s">
        <v>4111</v>
      </c>
    </row>
    <row r="11" spans="1:17" x14ac:dyDescent="0.3">
      <c r="A11" t="s">
        <v>4396</v>
      </c>
      <c r="B11" t="str">
        <f t="shared" si="0"/>
        <v/>
      </c>
      <c r="C11" s="58" t="s">
        <v>3754</v>
      </c>
      <c r="D11" s="58">
        <f>VLOOKUP(C11,Tableaux!$BS:$BU,3,FALSE)</f>
        <v>0</v>
      </c>
      <c r="E11" s="58">
        <v>1</v>
      </c>
      <c r="F11" s="217" t="s">
        <v>3994</v>
      </c>
      <c r="G11" s="308" t="s">
        <v>4184</v>
      </c>
      <c r="H11" t="b">
        <v>1</v>
      </c>
      <c r="I11" t="b">
        <v>0</v>
      </c>
      <c r="J11" t="b">
        <v>1</v>
      </c>
      <c r="K11" t="b">
        <v>0</v>
      </c>
      <c r="L11" t="b">
        <v>1</v>
      </c>
      <c r="M11" t="b">
        <v>0</v>
      </c>
      <c r="N11" t="b">
        <v>1</v>
      </c>
      <c r="O11" t="b">
        <v>0</v>
      </c>
      <c r="P11" s="312" t="s">
        <v>4397</v>
      </c>
      <c r="Q11" t="s">
        <v>4398</v>
      </c>
    </row>
    <row r="12" spans="1:17" x14ac:dyDescent="0.3">
      <c r="A12" t="s">
        <v>3977</v>
      </c>
      <c r="B12" t="str">
        <f t="shared" si="0"/>
        <v/>
      </c>
      <c r="C12" s="58" t="s">
        <v>3754</v>
      </c>
      <c r="D12" s="58">
        <f>VLOOKUP(C12,Tableaux!$BS:$BU,3,FALSE)</f>
        <v>0</v>
      </c>
      <c r="E12" s="58">
        <v>2</v>
      </c>
      <c r="F12" s="217" t="s">
        <v>3697</v>
      </c>
      <c r="G12" s="308" t="s">
        <v>550</v>
      </c>
      <c r="H12" t="b">
        <v>0</v>
      </c>
      <c r="I12" t="b">
        <v>1</v>
      </c>
      <c r="J12" t="b">
        <v>1</v>
      </c>
      <c r="K12" t="b">
        <v>1</v>
      </c>
      <c r="L12" t="b">
        <v>1</v>
      </c>
      <c r="M12" t="b">
        <v>1</v>
      </c>
      <c r="N12" t="b">
        <v>0</v>
      </c>
      <c r="O12" t="b">
        <v>1</v>
      </c>
      <c r="P12" s="312" t="s">
        <v>4053</v>
      </c>
      <c r="Q12" t="s">
        <v>4111</v>
      </c>
    </row>
    <row r="13" spans="1:17" x14ac:dyDescent="0.3">
      <c r="A13" t="s">
        <v>4192</v>
      </c>
      <c r="B13" t="str">
        <f t="shared" si="0"/>
        <v/>
      </c>
      <c r="C13" s="58" t="s">
        <v>2913</v>
      </c>
      <c r="D13" s="58">
        <f>VLOOKUP(C13,Tableaux!$BS:$BU,3,FALSE)</f>
        <v>80</v>
      </c>
      <c r="E13" s="58">
        <v>40</v>
      </c>
      <c r="F13" s="217" t="s">
        <v>3994</v>
      </c>
      <c r="G13" s="308" t="s">
        <v>4041</v>
      </c>
      <c r="H13" t="b">
        <v>0</v>
      </c>
      <c r="I13" t="b">
        <v>0</v>
      </c>
      <c r="J13" t="b">
        <v>1</v>
      </c>
      <c r="K13" t="b">
        <v>0</v>
      </c>
      <c r="L13" t="b">
        <v>1</v>
      </c>
      <c r="M13" t="b">
        <v>0</v>
      </c>
      <c r="N13" t="b">
        <v>0</v>
      </c>
      <c r="O13" t="b">
        <v>1</v>
      </c>
      <c r="P13" s="312" t="s">
        <v>4191</v>
      </c>
      <c r="Q13" t="s">
        <v>2123</v>
      </c>
    </row>
    <row r="14" spans="1:17" x14ac:dyDescent="0.3">
      <c r="A14" t="s">
        <v>4399</v>
      </c>
      <c r="B14" t="str">
        <f t="shared" si="0"/>
        <v/>
      </c>
      <c r="C14" s="58" t="s">
        <v>3751</v>
      </c>
      <c r="D14" s="58">
        <f>VLOOKUP(C14,Tableaux!$BS:$BU,3,FALSE)</f>
        <v>20</v>
      </c>
      <c r="E14" s="58">
        <v>3</v>
      </c>
      <c r="F14" s="217" t="s">
        <v>2073</v>
      </c>
      <c r="G14" s="308" t="s">
        <v>4184</v>
      </c>
      <c r="H14" t="b">
        <v>1</v>
      </c>
      <c r="I14" t="b">
        <v>0</v>
      </c>
      <c r="J14" t="b">
        <v>1</v>
      </c>
      <c r="K14" t="b">
        <v>0</v>
      </c>
      <c r="L14" t="b">
        <v>1</v>
      </c>
      <c r="M14" t="b">
        <v>0</v>
      </c>
      <c r="N14" t="b">
        <v>1</v>
      </c>
      <c r="O14" t="b">
        <v>1</v>
      </c>
      <c r="P14" s="312" t="s">
        <v>4400</v>
      </c>
      <c r="Q14" t="s">
        <v>4398</v>
      </c>
    </row>
    <row r="15" spans="1:17" x14ac:dyDescent="0.3">
      <c r="A15" t="s">
        <v>3978</v>
      </c>
      <c r="B15" t="str">
        <f t="shared" si="0"/>
        <v/>
      </c>
      <c r="C15" s="58" t="s">
        <v>3754</v>
      </c>
      <c r="D15" s="58">
        <f>VLOOKUP(C15,Tableaux!$BS:$BU,3,FALSE)</f>
        <v>0</v>
      </c>
      <c r="E15" s="58" t="s">
        <v>4138</v>
      </c>
      <c r="F15" s="217" t="s">
        <v>1804</v>
      </c>
      <c r="G15" s="308" t="s">
        <v>4042</v>
      </c>
      <c r="H15" t="b">
        <v>0</v>
      </c>
      <c r="I15" t="b">
        <v>0</v>
      </c>
      <c r="J15" t="b">
        <v>1</v>
      </c>
      <c r="K15" t="b">
        <v>1</v>
      </c>
      <c r="L15" t="b">
        <v>0</v>
      </c>
      <c r="M15" t="b">
        <v>1</v>
      </c>
      <c r="N15" t="b">
        <v>0</v>
      </c>
      <c r="O15" t="b">
        <v>0</v>
      </c>
      <c r="P15" s="312" t="s">
        <v>4054</v>
      </c>
      <c r="Q15" t="s">
        <v>4112</v>
      </c>
    </row>
    <row r="16" spans="1:17" x14ac:dyDescent="0.3">
      <c r="A16" t="s">
        <v>3976</v>
      </c>
      <c r="B16" t="str">
        <f t="shared" si="0"/>
        <v/>
      </c>
      <c r="C16" s="58" t="s">
        <v>3754</v>
      </c>
      <c r="D16" s="58">
        <f>VLOOKUP(C16,Tableaux!$BS:$BU,3,FALSE)</f>
        <v>0</v>
      </c>
      <c r="E16" s="58">
        <v>1</v>
      </c>
      <c r="F16" s="217" t="s">
        <v>3994</v>
      </c>
      <c r="G16" s="308" t="s">
        <v>3997</v>
      </c>
      <c r="H16" t="b">
        <v>1</v>
      </c>
      <c r="I16" t="b">
        <v>1</v>
      </c>
      <c r="J16" t="b">
        <v>1</v>
      </c>
      <c r="K16" t="b">
        <v>1</v>
      </c>
      <c r="L16" t="b">
        <v>1</v>
      </c>
      <c r="M16" t="b">
        <v>1</v>
      </c>
      <c r="N16" t="b">
        <v>0</v>
      </c>
      <c r="O16" t="b">
        <v>1</v>
      </c>
      <c r="P16" s="312" t="s">
        <v>4052</v>
      </c>
      <c r="Q16" t="s">
        <v>4111</v>
      </c>
    </row>
    <row r="17" spans="1:17" x14ac:dyDescent="0.3">
      <c r="A17" t="s">
        <v>4186</v>
      </c>
      <c r="B17" t="str">
        <f t="shared" si="0"/>
        <v/>
      </c>
      <c r="C17" s="58" t="s">
        <v>3754</v>
      </c>
      <c r="D17" s="58">
        <f>VLOOKUP(C17,Tableaux!$BS:$BU,3,FALSE)</f>
        <v>0</v>
      </c>
      <c r="E17" s="58" t="s">
        <v>4187</v>
      </c>
      <c r="F17" s="217">
        <f>déIntellect*2</f>
        <v>0</v>
      </c>
      <c r="G17" s="308" t="s">
        <v>3997</v>
      </c>
      <c r="H17" t="b">
        <v>1</v>
      </c>
      <c r="I17" t="b">
        <v>1</v>
      </c>
      <c r="J17" t="b">
        <v>1</v>
      </c>
      <c r="K17" t="b">
        <v>1</v>
      </c>
      <c r="L17" t="b">
        <v>1</v>
      </c>
      <c r="M17" t="b">
        <v>1</v>
      </c>
      <c r="N17" t="b">
        <v>1</v>
      </c>
      <c r="O17" t="b">
        <v>1</v>
      </c>
      <c r="P17" s="312" t="s">
        <v>4196</v>
      </c>
      <c r="Q17" t="s">
        <v>4353</v>
      </c>
    </row>
    <row r="18" spans="1:17" x14ac:dyDescent="0.3">
      <c r="A18" t="s">
        <v>4833</v>
      </c>
      <c r="B18" t="str">
        <f t="shared" si="0"/>
        <v/>
      </c>
      <c r="C18" s="58" t="s">
        <v>3754</v>
      </c>
      <c r="D18" s="58">
        <f>VLOOKUP(C18,Tableaux!$BS:$BU,3,FALSE)</f>
        <v>0</v>
      </c>
      <c r="E18" s="58">
        <v>3</v>
      </c>
      <c r="F18" s="308" t="s">
        <v>1814</v>
      </c>
      <c r="G18" s="308" t="s">
        <v>1814</v>
      </c>
      <c r="H18" t="b">
        <v>1</v>
      </c>
      <c r="I18" t="b">
        <v>0</v>
      </c>
      <c r="J18" t="b">
        <v>0</v>
      </c>
      <c r="K18" t="b">
        <v>0</v>
      </c>
      <c r="L18" t="b">
        <v>1</v>
      </c>
      <c r="M18" t="b">
        <v>0</v>
      </c>
      <c r="N18" t="b">
        <v>0</v>
      </c>
      <c r="O18" t="b">
        <v>1</v>
      </c>
      <c r="P18" s="312" t="s">
        <v>4841</v>
      </c>
      <c r="Q18" t="s">
        <v>4843</v>
      </c>
    </row>
    <row r="19" spans="1:17" x14ac:dyDescent="0.3">
      <c r="A19" t="s">
        <v>4834</v>
      </c>
      <c r="B19" t="str">
        <f t="shared" si="0"/>
        <v/>
      </c>
      <c r="C19" s="58" t="s">
        <v>3751</v>
      </c>
      <c r="D19" s="58">
        <f>VLOOKUP(C19,Tableaux!$BS:$BU,3,FALSE)</f>
        <v>20</v>
      </c>
      <c r="E19" s="58">
        <v>4</v>
      </c>
      <c r="F19" s="308" t="s">
        <v>1814</v>
      </c>
      <c r="G19" s="308" t="s">
        <v>1814</v>
      </c>
      <c r="H19" t="b">
        <v>1</v>
      </c>
      <c r="I19" t="b">
        <v>0</v>
      </c>
      <c r="J19" t="b">
        <v>0</v>
      </c>
      <c r="K19" t="b">
        <v>0</v>
      </c>
      <c r="L19" t="b">
        <v>1</v>
      </c>
      <c r="M19" t="b">
        <v>0</v>
      </c>
      <c r="N19" t="b">
        <v>0</v>
      </c>
      <c r="O19" t="b">
        <v>1</v>
      </c>
      <c r="P19" s="312" t="s">
        <v>4842</v>
      </c>
      <c r="Q19" t="s">
        <v>4843</v>
      </c>
    </row>
    <row r="20" spans="1:17" x14ac:dyDescent="0.3">
      <c r="A20" t="s">
        <v>4835</v>
      </c>
      <c r="B20" t="str">
        <f t="shared" si="0"/>
        <v/>
      </c>
      <c r="C20" s="58" t="s">
        <v>3752</v>
      </c>
      <c r="D20" s="58">
        <f>VLOOKUP(C20,Tableaux!$BS:$BU,3,FALSE)</f>
        <v>40</v>
      </c>
      <c r="E20" s="58" t="s">
        <v>4838</v>
      </c>
      <c r="F20" s="308" t="s">
        <v>1814</v>
      </c>
      <c r="G20" s="308" t="s">
        <v>1814</v>
      </c>
      <c r="H20" t="b">
        <v>1</v>
      </c>
      <c r="I20" t="b">
        <v>0</v>
      </c>
      <c r="J20" t="b">
        <v>0</v>
      </c>
      <c r="K20" t="b">
        <v>0</v>
      </c>
      <c r="L20" t="b">
        <v>1</v>
      </c>
      <c r="M20" t="b">
        <v>0</v>
      </c>
      <c r="N20" t="b">
        <v>0</v>
      </c>
      <c r="O20" t="b">
        <v>1</v>
      </c>
      <c r="P20" s="312" t="s">
        <v>4845</v>
      </c>
      <c r="Q20" t="s">
        <v>4844</v>
      </c>
    </row>
    <row r="21" spans="1:17" x14ac:dyDescent="0.3">
      <c r="A21" t="s">
        <v>4836</v>
      </c>
      <c r="B21" t="str">
        <f t="shared" si="0"/>
        <v/>
      </c>
      <c r="C21" s="58" t="s">
        <v>3753</v>
      </c>
      <c r="D21" s="58">
        <f>VLOOKUP(C21,Tableaux!$BS:$BU,3,FALSE)</f>
        <v>60</v>
      </c>
      <c r="E21" s="58" t="s">
        <v>4839</v>
      </c>
      <c r="F21" s="308" t="s">
        <v>1814</v>
      </c>
      <c r="G21" s="308" t="s">
        <v>1814</v>
      </c>
      <c r="H21" t="b">
        <v>1</v>
      </c>
      <c r="I21" t="b">
        <v>0</v>
      </c>
      <c r="J21" t="b">
        <v>0</v>
      </c>
      <c r="K21" t="b">
        <v>0</v>
      </c>
      <c r="L21" t="b">
        <v>1</v>
      </c>
      <c r="M21" t="b">
        <v>0</v>
      </c>
      <c r="N21" t="b">
        <v>0</v>
      </c>
      <c r="O21" t="b">
        <v>1</v>
      </c>
      <c r="P21" s="312" t="s">
        <v>4846</v>
      </c>
      <c r="Q21" t="s">
        <v>4844</v>
      </c>
    </row>
    <row r="22" spans="1:17" x14ac:dyDescent="0.3">
      <c r="A22" t="s">
        <v>4837</v>
      </c>
      <c r="B22" t="str">
        <f t="shared" si="0"/>
        <v/>
      </c>
      <c r="C22" s="58" t="s">
        <v>2913</v>
      </c>
      <c r="D22" s="58">
        <f>VLOOKUP(C22,Tableaux!$BS:$BU,3,FALSE)</f>
        <v>80</v>
      </c>
      <c r="E22" s="58">
        <v>7</v>
      </c>
      <c r="F22" s="308" t="s">
        <v>1814</v>
      </c>
      <c r="G22" s="308" t="s">
        <v>1814</v>
      </c>
      <c r="H22" t="b">
        <v>1</v>
      </c>
      <c r="I22" t="b">
        <v>0</v>
      </c>
      <c r="J22" t="b">
        <v>0</v>
      </c>
      <c r="K22" t="b">
        <v>0</v>
      </c>
      <c r="L22" t="b">
        <v>1</v>
      </c>
      <c r="M22" t="b">
        <v>0</v>
      </c>
      <c r="N22" t="b">
        <v>0</v>
      </c>
      <c r="O22" t="b">
        <v>1</v>
      </c>
      <c r="P22" s="312" t="s">
        <v>4840</v>
      </c>
      <c r="Q22" t="s">
        <v>4844</v>
      </c>
    </row>
    <row r="23" spans="1:17" x14ac:dyDescent="0.3">
      <c r="A23" t="s">
        <v>4354</v>
      </c>
      <c r="B23" t="str">
        <f t="shared" si="0"/>
        <v/>
      </c>
      <c r="C23" s="58" t="s">
        <v>3754</v>
      </c>
      <c r="D23" s="58">
        <f>VLOOKUP(C23,Tableaux!$BS:$BU,3,FALSE)</f>
        <v>0</v>
      </c>
      <c r="E23" s="58">
        <v>3</v>
      </c>
      <c r="F23" s="217">
        <f t="shared" ref="F23:F28" si="1">déIntellect</f>
        <v>0</v>
      </c>
      <c r="G23" s="308" t="s">
        <v>4184</v>
      </c>
      <c r="H23" t="b">
        <v>1</v>
      </c>
      <c r="I23" t="b">
        <v>0</v>
      </c>
      <c r="J23" t="b">
        <v>1</v>
      </c>
      <c r="K23" t="b">
        <v>0</v>
      </c>
      <c r="L23" t="b">
        <v>0</v>
      </c>
      <c r="M23" t="b">
        <v>0</v>
      </c>
      <c r="N23" t="b">
        <v>0</v>
      </c>
      <c r="O23" t="b">
        <v>0</v>
      </c>
      <c r="P23" s="312" t="s">
        <v>4360</v>
      </c>
      <c r="Q23" t="s">
        <v>4353</v>
      </c>
    </row>
    <row r="24" spans="1:17" x14ac:dyDescent="0.3">
      <c r="A24" t="s">
        <v>4355</v>
      </c>
      <c r="B24" t="str">
        <f t="shared" si="0"/>
        <v/>
      </c>
      <c r="C24" s="58" t="s">
        <v>3751</v>
      </c>
      <c r="D24" s="58">
        <f>VLOOKUP(C24,Tableaux!$BS:$BU,3,FALSE)</f>
        <v>20</v>
      </c>
      <c r="E24" s="58">
        <v>4</v>
      </c>
      <c r="F24" s="217">
        <f t="shared" si="1"/>
        <v>0</v>
      </c>
      <c r="G24" s="308" t="s">
        <v>4184</v>
      </c>
      <c r="H24" t="b">
        <v>1</v>
      </c>
      <c r="I24" t="b">
        <v>0</v>
      </c>
      <c r="J24" t="b">
        <v>1</v>
      </c>
      <c r="K24" t="b">
        <v>0</v>
      </c>
      <c r="L24" t="b">
        <v>0</v>
      </c>
      <c r="M24" t="b">
        <v>0</v>
      </c>
      <c r="N24" t="b">
        <v>0</v>
      </c>
      <c r="O24" t="b">
        <v>0</v>
      </c>
      <c r="P24" s="312" t="s">
        <v>4358</v>
      </c>
      <c r="Q24" t="s">
        <v>4353</v>
      </c>
    </row>
    <row r="25" spans="1:17" x14ac:dyDescent="0.3">
      <c r="A25" t="s">
        <v>4356</v>
      </c>
      <c r="B25" t="str">
        <f t="shared" si="0"/>
        <v/>
      </c>
      <c r="C25" s="58" t="s">
        <v>3752</v>
      </c>
      <c r="D25" s="58">
        <f>VLOOKUP(C25,Tableaux!$BS:$BU,3,FALSE)</f>
        <v>40</v>
      </c>
      <c r="E25" s="58">
        <v>5</v>
      </c>
      <c r="F25" s="217">
        <f t="shared" si="1"/>
        <v>0</v>
      </c>
      <c r="G25" s="308" t="s">
        <v>4184</v>
      </c>
      <c r="H25" t="b">
        <v>1</v>
      </c>
      <c r="I25" t="b">
        <v>0</v>
      </c>
      <c r="J25" t="b">
        <v>1</v>
      </c>
      <c r="K25" t="b">
        <v>0</v>
      </c>
      <c r="L25" t="b">
        <v>0</v>
      </c>
      <c r="M25" t="b">
        <v>0</v>
      </c>
      <c r="N25" t="b">
        <v>0</v>
      </c>
      <c r="O25" t="b">
        <v>0</v>
      </c>
      <c r="P25" s="312" t="s">
        <v>4359</v>
      </c>
      <c r="Q25" t="s">
        <v>4353</v>
      </c>
    </row>
    <row r="26" spans="1:17" x14ac:dyDescent="0.3">
      <c r="A26" t="s">
        <v>4357</v>
      </c>
      <c r="B26" t="str">
        <f t="shared" si="0"/>
        <v/>
      </c>
      <c r="C26" s="58" t="s">
        <v>3753</v>
      </c>
      <c r="D26" s="58">
        <f>VLOOKUP(C26,Tableaux!$BS:$BU,3,FALSE)</f>
        <v>60</v>
      </c>
      <c r="E26" s="58">
        <v>6</v>
      </c>
      <c r="F26" s="217">
        <f t="shared" si="1"/>
        <v>0</v>
      </c>
      <c r="G26" s="308" t="s">
        <v>4184</v>
      </c>
      <c r="H26" t="b">
        <v>1</v>
      </c>
      <c r="I26" t="b">
        <v>0</v>
      </c>
      <c r="J26" t="b">
        <v>1</v>
      </c>
      <c r="K26" t="b">
        <v>0</v>
      </c>
      <c r="L26" t="b">
        <v>0</v>
      </c>
      <c r="M26" t="b">
        <v>0</v>
      </c>
      <c r="N26" t="b">
        <v>0</v>
      </c>
      <c r="O26" t="b">
        <v>0</v>
      </c>
      <c r="P26" s="312" t="s">
        <v>4361</v>
      </c>
      <c r="Q26" t="s">
        <v>4353</v>
      </c>
    </row>
    <row r="27" spans="1:17" x14ac:dyDescent="0.3">
      <c r="A27" t="s">
        <v>4372</v>
      </c>
      <c r="B27" t="str">
        <f t="shared" si="0"/>
        <v/>
      </c>
      <c r="C27" s="58" t="s">
        <v>2913</v>
      </c>
      <c r="D27" s="58">
        <f>VLOOKUP(C27,Tableaux!$BS:$BU,3,FALSE)</f>
        <v>80</v>
      </c>
      <c r="E27" s="58">
        <v>7</v>
      </c>
      <c r="F27" s="217">
        <f t="shared" si="1"/>
        <v>0</v>
      </c>
      <c r="G27" s="308" t="s">
        <v>4184</v>
      </c>
      <c r="H27" t="b">
        <v>1</v>
      </c>
      <c r="I27" t="b">
        <v>0</v>
      </c>
      <c r="J27" t="b">
        <v>1</v>
      </c>
      <c r="K27" t="b">
        <v>0</v>
      </c>
      <c r="L27" t="b">
        <v>0</v>
      </c>
      <c r="M27" t="b">
        <v>0</v>
      </c>
      <c r="N27" t="b">
        <v>0</v>
      </c>
      <c r="O27" t="b">
        <v>0</v>
      </c>
      <c r="P27" s="312" t="s">
        <v>4362</v>
      </c>
      <c r="Q27" t="s">
        <v>4353</v>
      </c>
    </row>
    <row r="28" spans="1:17" x14ac:dyDescent="0.3">
      <c r="A28" t="s">
        <v>4366</v>
      </c>
      <c r="B28" t="str">
        <f t="shared" si="0"/>
        <v/>
      </c>
      <c r="C28" s="58" t="s">
        <v>3751</v>
      </c>
      <c r="D28" s="58">
        <f>VLOOKUP(C28,Tableaux!$BS:$BU,3,FALSE)</f>
        <v>20</v>
      </c>
      <c r="E28" s="58" t="s">
        <v>4367</v>
      </c>
      <c r="F28" s="217">
        <f t="shared" si="1"/>
        <v>0</v>
      </c>
      <c r="G28" s="308" t="s">
        <v>4205</v>
      </c>
      <c r="H28" t="b">
        <v>1</v>
      </c>
      <c r="I28" t="b">
        <v>0</v>
      </c>
      <c r="J28" t="b">
        <v>0</v>
      </c>
      <c r="K28" t="b">
        <v>0</v>
      </c>
      <c r="L28" t="b">
        <v>0</v>
      </c>
      <c r="M28" t="b">
        <v>0</v>
      </c>
      <c r="N28" t="b">
        <v>1</v>
      </c>
      <c r="O28" t="b">
        <v>0</v>
      </c>
      <c r="P28" s="312" t="s">
        <v>4368</v>
      </c>
      <c r="Q28" t="s">
        <v>4353</v>
      </c>
    </row>
    <row r="29" spans="1:17" x14ac:dyDescent="0.3">
      <c r="A29" t="s">
        <v>3979</v>
      </c>
      <c r="B29" t="str">
        <f t="shared" si="0"/>
        <v/>
      </c>
      <c r="C29" s="58" t="s">
        <v>3754</v>
      </c>
      <c r="D29" s="58">
        <f>VLOOKUP(C29,Tableaux!$BS:$BU,3,FALSE)</f>
        <v>0</v>
      </c>
      <c r="E29" s="58">
        <v>2</v>
      </c>
      <c r="F29" s="217" t="s">
        <v>3994</v>
      </c>
      <c r="G29" s="308" t="s">
        <v>4184</v>
      </c>
      <c r="H29" t="b">
        <v>1</v>
      </c>
      <c r="I29" t="b">
        <v>1</v>
      </c>
      <c r="J29" t="b">
        <v>1</v>
      </c>
      <c r="K29" t="b">
        <v>1</v>
      </c>
      <c r="L29" t="b">
        <v>1</v>
      </c>
      <c r="M29" t="b">
        <v>1</v>
      </c>
      <c r="N29" t="b">
        <v>1</v>
      </c>
      <c r="O29" t="b">
        <v>1</v>
      </c>
      <c r="P29" s="312" t="s">
        <v>4055</v>
      </c>
      <c r="Q29" t="s">
        <v>4112</v>
      </c>
    </row>
    <row r="30" spans="1:17" x14ac:dyDescent="0.3">
      <c r="A30" t="s">
        <v>26</v>
      </c>
      <c r="B30" t="str">
        <f t="shared" si="0"/>
        <v/>
      </c>
      <c r="C30" s="58" t="s">
        <v>3751</v>
      </c>
      <c r="D30" s="58">
        <f>VLOOKUP(C30,Tableaux!$BS:$BU,3,FALSE)</f>
        <v>20</v>
      </c>
      <c r="E30" s="58" t="s">
        <v>4197</v>
      </c>
      <c r="F30" s="217" t="s">
        <v>3994</v>
      </c>
      <c r="G30" s="24" t="s">
        <v>3997</v>
      </c>
      <c r="H30" t="b">
        <v>0</v>
      </c>
      <c r="I30" t="b">
        <v>0</v>
      </c>
      <c r="J30" t="b">
        <v>1</v>
      </c>
      <c r="K30" t="b">
        <v>1</v>
      </c>
      <c r="L30" t="b">
        <v>1</v>
      </c>
      <c r="M30" t="b">
        <v>0</v>
      </c>
      <c r="N30" t="b">
        <v>0</v>
      </c>
      <c r="O30" t="b">
        <v>1</v>
      </c>
      <c r="P30" s="312" t="s">
        <v>4198</v>
      </c>
      <c r="Q30" t="s">
        <v>4363</v>
      </c>
    </row>
    <row r="31" spans="1:17" x14ac:dyDescent="0.3">
      <c r="A31" t="s">
        <v>4364</v>
      </c>
      <c r="B31" t="str">
        <f t="shared" si="0"/>
        <v/>
      </c>
      <c r="C31" s="58" t="s">
        <v>3751</v>
      </c>
      <c r="D31" s="58">
        <f>VLOOKUP(C31,Tableaux!$BS:$BU,3,FALSE)</f>
        <v>20</v>
      </c>
      <c r="E31" s="58">
        <v>2</v>
      </c>
      <c r="F31" s="217" t="s">
        <v>4013</v>
      </c>
      <c r="G31" s="24" t="s">
        <v>4041</v>
      </c>
      <c r="H31" t="b">
        <v>1</v>
      </c>
      <c r="I31" t="b">
        <v>1</v>
      </c>
      <c r="J31" t="b">
        <v>1</v>
      </c>
      <c r="K31" t="b">
        <v>1</v>
      </c>
      <c r="L31" t="b">
        <v>1</v>
      </c>
      <c r="M31" t="b">
        <v>1</v>
      </c>
      <c r="N31" t="b">
        <v>1</v>
      </c>
      <c r="O31" t="b">
        <v>1</v>
      </c>
      <c r="P31" s="312" t="s">
        <v>4376</v>
      </c>
      <c r="Q31" t="s">
        <v>4363</v>
      </c>
    </row>
    <row r="32" spans="1:17" x14ac:dyDescent="0.3">
      <c r="A32" t="s">
        <v>4401</v>
      </c>
      <c r="B32" t="str">
        <f t="shared" si="0"/>
        <v/>
      </c>
      <c r="C32" s="58" t="s">
        <v>3752</v>
      </c>
      <c r="D32" s="58">
        <f>VLOOKUP(C32,Tableaux!$BS:$BU,3,FALSE)</f>
        <v>40</v>
      </c>
      <c r="E32" s="58">
        <v>5</v>
      </c>
      <c r="F32" s="217">
        <f>déIntellect</f>
        <v>0</v>
      </c>
      <c r="G32" s="24" t="s">
        <v>4041</v>
      </c>
      <c r="H32" t="b">
        <v>0</v>
      </c>
      <c r="I32" t="b">
        <v>0</v>
      </c>
      <c r="J32" t="b">
        <v>0</v>
      </c>
      <c r="K32" t="b">
        <v>0</v>
      </c>
      <c r="L32" t="b">
        <v>0</v>
      </c>
      <c r="M32" t="b">
        <v>0</v>
      </c>
      <c r="N32" t="b">
        <v>0</v>
      </c>
      <c r="O32" t="b">
        <v>1</v>
      </c>
      <c r="P32" s="312" t="s">
        <v>4402</v>
      </c>
      <c r="Q32" t="s">
        <v>4403</v>
      </c>
    </row>
    <row r="33" spans="1:17" x14ac:dyDescent="0.3">
      <c r="A33" t="s">
        <v>4200</v>
      </c>
      <c r="B33" t="str">
        <f t="shared" si="0"/>
        <v/>
      </c>
      <c r="C33" s="58" t="s">
        <v>3754</v>
      </c>
      <c r="D33" s="58">
        <f>VLOOKUP(C33,Tableaux!$BS:$BU,3,FALSE)</f>
        <v>0</v>
      </c>
      <c r="E33" s="58">
        <v>2</v>
      </c>
      <c r="F33" s="217" t="s">
        <v>1804</v>
      </c>
      <c r="G33" s="308" t="s">
        <v>4185</v>
      </c>
      <c r="H33" t="b">
        <v>1</v>
      </c>
      <c r="I33" t="b">
        <v>0</v>
      </c>
      <c r="J33" t="b">
        <v>1</v>
      </c>
      <c r="K33" t="b">
        <v>1</v>
      </c>
      <c r="L33" t="b">
        <v>1</v>
      </c>
      <c r="M33" t="b">
        <v>1</v>
      </c>
      <c r="N33" t="b">
        <v>1</v>
      </c>
      <c r="O33" t="b">
        <v>0</v>
      </c>
      <c r="P33" s="312" t="s">
        <v>4202</v>
      </c>
      <c r="Q33" t="s">
        <v>4112</v>
      </c>
    </row>
    <row r="34" spans="1:17" x14ac:dyDescent="0.3">
      <c r="A34" t="s">
        <v>2091</v>
      </c>
      <c r="B34" t="str">
        <f>IF(Vérif_Détérré="X",A34,"")</f>
        <v/>
      </c>
      <c r="C34" s="58" t="s">
        <v>3754</v>
      </c>
      <c r="D34" s="58">
        <f>VLOOKUP(C34,Tableaux!$BS:$BU,3,FALSE)</f>
        <v>0</v>
      </c>
      <c r="E34" s="58" t="s">
        <v>522</v>
      </c>
      <c r="F34" s="217" t="s">
        <v>1731</v>
      </c>
      <c r="G34" s="308" t="s">
        <v>1814</v>
      </c>
      <c r="H34" t="b">
        <v>0</v>
      </c>
      <c r="I34" t="b">
        <v>0</v>
      </c>
      <c r="J34" t="b">
        <v>0</v>
      </c>
      <c r="K34" t="b">
        <v>0</v>
      </c>
      <c r="L34" t="b">
        <v>0</v>
      </c>
      <c r="M34" t="b">
        <v>0</v>
      </c>
      <c r="N34" t="b">
        <v>0</v>
      </c>
      <c r="O34" t="b">
        <v>0</v>
      </c>
      <c r="P34" s="312" t="s">
        <v>4119</v>
      </c>
      <c r="Q34" t="s">
        <v>4120</v>
      </c>
    </row>
    <row r="35" spans="1:17" x14ac:dyDescent="0.3">
      <c r="A35" t="s">
        <v>4201</v>
      </c>
      <c r="B35" t="str">
        <f>IF(Primes&lt;D35,"",IF(OR(AND(H35=TRUE,chaman=TRUE),AND(I35=TRUE,croyant=TRUE),AND(J35=TRUE,occulte=TRUE),AND(L35=TRUE,sciencefolle=TRUE),AND(N35=TRUE,Illumination=TRUE),AND(O35=TRUE,vaudou=TRUE)),A35,""))</f>
        <v/>
      </c>
      <c r="C35" s="58" t="s">
        <v>3754</v>
      </c>
      <c r="D35" s="58">
        <f>VLOOKUP(C35,Tableaux!$BS:$BU,3,FALSE)</f>
        <v>0</v>
      </c>
      <c r="E35" s="58">
        <v>2</v>
      </c>
      <c r="F35" s="217" t="s">
        <v>1804</v>
      </c>
      <c r="G35" s="308" t="s">
        <v>4185</v>
      </c>
      <c r="H35" t="b">
        <v>1</v>
      </c>
      <c r="I35" t="b">
        <v>0</v>
      </c>
      <c r="J35" t="b">
        <v>1</v>
      </c>
      <c r="K35" t="b">
        <v>1</v>
      </c>
      <c r="L35" t="b">
        <v>1</v>
      </c>
      <c r="M35" t="b">
        <v>1</v>
      </c>
      <c r="N35" t="b">
        <v>1</v>
      </c>
      <c r="O35" t="b">
        <v>0</v>
      </c>
      <c r="P35" s="312" t="s">
        <v>4203</v>
      </c>
      <c r="Q35" t="s">
        <v>4112</v>
      </c>
    </row>
    <row r="36" spans="1:17" x14ac:dyDescent="0.3">
      <c r="A36" t="s">
        <v>1974</v>
      </c>
      <c r="B36" t="str">
        <f>IF(Primes&lt;D36,"",IF(OR(AND(H36=TRUE,chaman=TRUE),AND(I36=TRUE,croyant=TRUE),AND(J36=TRUE,occulte=TRUE),AND(L36=TRUE,sciencefolle=TRUE),AND(N36=TRUE,Illumination=TRUE),AND(O36=TRUE,vaudou=TRUE),Manitous=TRUE),A36,""))</f>
        <v/>
      </c>
      <c r="C36" s="58" t="s">
        <v>3751</v>
      </c>
      <c r="D36" s="58">
        <f>VLOOKUP(C36,Tableaux!$BS:$BU,3,FALSE)</f>
        <v>20</v>
      </c>
      <c r="E36" s="58">
        <v>3</v>
      </c>
      <c r="F36" s="217">
        <f>déIntellect</f>
        <v>0</v>
      </c>
      <c r="G36" s="308" t="s">
        <v>4041</v>
      </c>
      <c r="H36" t="b">
        <v>1</v>
      </c>
      <c r="I36" t="b">
        <v>1</v>
      </c>
      <c r="J36" t="b">
        <v>1</v>
      </c>
      <c r="K36" t="b">
        <v>1</v>
      </c>
      <c r="L36" t="b">
        <v>1</v>
      </c>
      <c r="M36" t="b">
        <v>1</v>
      </c>
      <c r="N36" t="b">
        <v>0</v>
      </c>
      <c r="O36" t="b">
        <v>1</v>
      </c>
      <c r="P36" s="312" t="s">
        <v>4056</v>
      </c>
      <c r="Q36" t="s">
        <v>4110</v>
      </c>
    </row>
    <row r="37" spans="1:17" x14ac:dyDescent="0.3">
      <c r="A37" t="s">
        <v>5298</v>
      </c>
      <c r="B37" t="str">
        <f>IF(Primes&lt;D37,"",IF(OR(AND(H37=TRUE,chaman=TRUE),AND(I37=TRUE,croyant=TRUE),AND(J37=TRUE,occulte=TRUE),AND(N37=TRUE,Illumination=TRUE),AND(O37=TRUE,vaudou=TRUE)),A37,""))</f>
        <v/>
      </c>
      <c r="C37" s="58" t="s">
        <v>3752</v>
      </c>
      <c r="D37" s="58">
        <f>VLOOKUP(C37,Tableaux!$BS:$BU,3,FALSE)</f>
        <v>40</v>
      </c>
      <c r="E37" s="58">
        <v>10</v>
      </c>
      <c r="F37" s="217">
        <v>0</v>
      </c>
      <c r="G37" s="333" t="s">
        <v>550</v>
      </c>
      <c r="H37" t="b">
        <v>1</v>
      </c>
      <c r="I37" t="b">
        <v>1</v>
      </c>
      <c r="J37" t="b">
        <v>0</v>
      </c>
      <c r="K37" t="b">
        <v>0</v>
      </c>
      <c r="L37" t="b">
        <v>0</v>
      </c>
      <c r="M37" t="b">
        <v>0</v>
      </c>
      <c r="N37" t="b">
        <v>0</v>
      </c>
      <c r="O37" t="b">
        <v>1</v>
      </c>
      <c r="P37" s="312" t="s">
        <v>5299</v>
      </c>
      <c r="Q37" t="s">
        <v>4403</v>
      </c>
    </row>
    <row r="38" spans="1:17" x14ac:dyDescent="0.3">
      <c r="A38" t="s">
        <v>4371</v>
      </c>
      <c r="B38" t="str">
        <f>IF(Primes&lt;D38,"",IF(OR(AND(H38=TRUE,chaman=TRUE),AND(I38=TRUE,croyant=TRUE),AND(J38=TRUE,occulte=TRUE),AND(L38=TRUE,sciencefolle=TRUE),AND(N38=TRUE,Illumination=TRUE),AND(O38=TRUE,vaudou=TRUE),Manitous=TRUE),A38,""))</f>
        <v/>
      </c>
      <c r="C38" s="58" t="s">
        <v>3751</v>
      </c>
      <c r="D38" s="58">
        <f>VLOOKUP(C38,Tableaux!$BS:$BU,3,FALSE)</f>
        <v>20</v>
      </c>
      <c r="E38" s="58">
        <v>4</v>
      </c>
      <c r="F38" s="217" t="s">
        <v>3994</v>
      </c>
      <c r="G38" s="308" t="s">
        <v>4184</v>
      </c>
      <c r="H38" t="b">
        <v>1</v>
      </c>
      <c r="I38" t="b">
        <v>1</v>
      </c>
      <c r="J38" t="b">
        <v>0</v>
      </c>
      <c r="K38" t="b">
        <v>1</v>
      </c>
      <c r="L38" t="b">
        <v>1</v>
      </c>
      <c r="M38" t="b">
        <v>0</v>
      </c>
      <c r="N38" t="b">
        <v>1</v>
      </c>
      <c r="O38" t="b">
        <v>1</v>
      </c>
      <c r="P38" s="312" t="s">
        <v>4373</v>
      </c>
      <c r="Q38" t="s">
        <v>4374</v>
      </c>
    </row>
    <row r="39" spans="1:17" x14ac:dyDescent="0.3">
      <c r="A39" t="s">
        <v>3980</v>
      </c>
      <c r="B39" t="str">
        <f t="shared" ref="B39:B44" si="2">IF(Primes&lt;D39,"",IF(OR(AND(H39=TRUE,chaman=TRUE),AND(I39=TRUE,croyant=TRUE),AND(J39=TRUE,occulte=TRUE),AND(L39=TRUE,sciencefolle=TRUE),AND(N39=TRUE,Illumination=TRUE),AND(O39=TRUE,vaudou=TRUE)),A39,""))</f>
        <v/>
      </c>
      <c r="C39" s="58" t="s">
        <v>3754</v>
      </c>
      <c r="D39" s="58">
        <f>VLOOKUP(C39,Tableaux!$BS:$BU,3,FALSE)</f>
        <v>0</v>
      </c>
      <c r="E39" s="58">
        <v>1</v>
      </c>
      <c r="F39" s="217" t="s">
        <v>3697</v>
      </c>
      <c r="G39" s="308" t="s">
        <v>4041</v>
      </c>
      <c r="H39" t="b">
        <v>0</v>
      </c>
      <c r="I39" t="b">
        <v>0</v>
      </c>
      <c r="J39" t="b">
        <v>1</v>
      </c>
      <c r="K39" t="b">
        <v>1</v>
      </c>
      <c r="L39" t="b">
        <v>1</v>
      </c>
      <c r="M39" t="b">
        <v>0</v>
      </c>
      <c r="N39" t="b">
        <v>1</v>
      </c>
      <c r="O39" t="b">
        <v>0</v>
      </c>
      <c r="P39" s="312" t="s">
        <v>4057</v>
      </c>
      <c r="Q39" t="s">
        <v>4110</v>
      </c>
    </row>
    <row r="40" spans="1:17" x14ac:dyDescent="0.3">
      <c r="A40" t="s">
        <v>3981</v>
      </c>
      <c r="B40" t="str">
        <f t="shared" si="2"/>
        <v/>
      </c>
      <c r="C40" s="58" t="s">
        <v>3754</v>
      </c>
      <c r="D40" s="58">
        <f>VLOOKUP(C40,Tableaux!$BS:$BU,3,FALSE)</f>
        <v>0</v>
      </c>
      <c r="E40" s="296" t="s">
        <v>3992</v>
      </c>
      <c r="F40" s="217">
        <f>déIntellect</f>
        <v>0</v>
      </c>
      <c r="G40" s="333" t="s">
        <v>550</v>
      </c>
      <c r="H40" t="b">
        <v>1</v>
      </c>
      <c r="I40" t="b">
        <v>0</v>
      </c>
      <c r="J40" t="b">
        <v>1</v>
      </c>
      <c r="K40" t="b">
        <v>1</v>
      </c>
      <c r="L40" t="b">
        <v>1</v>
      </c>
      <c r="M40" t="b">
        <v>1</v>
      </c>
      <c r="N40" t="b">
        <v>1</v>
      </c>
      <c r="O40" t="b">
        <v>0</v>
      </c>
      <c r="P40" s="312" t="s">
        <v>4058</v>
      </c>
      <c r="Q40" t="s">
        <v>4110</v>
      </c>
    </row>
    <row r="41" spans="1:17" x14ac:dyDescent="0.3">
      <c r="A41" t="s">
        <v>3982</v>
      </c>
      <c r="B41" t="str">
        <f t="shared" si="2"/>
        <v/>
      </c>
      <c r="C41" s="58" t="s">
        <v>3754</v>
      </c>
      <c r="D41" s="58">
        <f>VLOOKUP(C41,Tableaux!$BS:$BU,3,FALSE)</f>
        <v>0</v>
      </c>
      <c r="E41" s="58">
        <v>3</v>
      </c>
      <c r="F41" s="217">
        <f>déIntellect*2</f>
        <v>0</v>
      </c>
      <c r="G41" s="308" t="s">
        <v>4205</v>
      </c>
      <c r="H41" t="b">
        <v>1</v>
      </c>
      <c r="I41" t="b">
        <v>0</v>
      </c>
      <c r="J41" t="b">
        <v>0</v>
      </c>
      <c r="K41" t="b">
        <v>1</v>
      </c>
      <c r="L41" t="b">
        <v>1</v>
      </c>
      <c r="M41" t="b">
        <v>0</v>
      </c>
      <c r="N41" t="b">
        <v>1</v>
      </c>
      <c r="O41" t="b">
        <v>1</v>
      </c>
      <c r="P41" s="312" t="s">
        <v>4059</v>
      </c>
      <c r="Q41" t="s">
        <v>4108</v>
      </c>
    </row>
    <row r="42" spans="1:17" x14ac:dyDescent="0.3">
      <c r="A42" t="s">
        <v>1764</v>
      </c>
      <c r="B42" t="str">
        <f t="shared" si="2"/>
        <v/>
      </c>
      <c r="C42" s="58" t="s">
        <v>3752</v>
      </c>
      <c r="D42" s="58">
        <f>VLOOKUP(C42,Tableaux!$BS:$BU,3,FALSE)</f>
        <v>40</v>
      </c>
      <c r="E42" s="58">
        <v>15</v>
      </c>
      <c r="F42" s="217" t="s">
        <v>3998</v>
      </c>
      <c r="G42" s="308" t="s">
        <v>4044</v>
      </c>
      <c r="H42" t="b">
        <v>1</v>
      </c>
      <c r="I42" t="b">
        <v>1</v>
      </c>
      <c r="J42" t="b">
        <v>0</v>
      </c>
      <c r="K42" t="b">
        <v>0</v>
      </c>
      <c r="L42" t="b">
        <v>0</v>
      </c>
      <c r="M42" t="b">
        <v>0</v>
      </c>
      <c r="N42" t="b">
        <v>0</v>
      </c>
      <c r="O42" t="b">
        <v>1</v>
      </c>
      <c r="P42" s="312" t="s">
        <v>4060</v>
      </c>
      <c r="Q42" t="s">
        <v>4108</v>
      </c>
    </row>
    <row r="43" spans="1:17" x14ac:dyDescent="0.3">
      <c r="A43" t="s">
        <v>1288</v>
      </c>
      <c r="B43" t="str">
        <f t="shared" si="2"/>
        <v/>
      </c>
      <c r="C43" s="58" t="s">
        <v>3751</v>
      </c>
      <c r="D43" s="58">
        <f>VLOOKUP(C43,Tableaux!$BS:$BU,3,FALSE)</f>
        <v>20</v>
      </c>
      <c r="E43" s="58" t="s">
        <v>2558</v>
      </c>
      <c r="F43" s="217" t="s">
        <v>3688</v>
      </c>
      <c r="G43" s="308" t="s">
        <v>4041</v>
      </c>
      <c r="H43" t="b">
        <v>0</v>
      </c>
      <c r="I43" t="b">
        <v>0</v>
      </c>
      <c r="J43" t="b">
        <v>1</v>
      </c>
      <c r="K43" t="b">
        <v>1</v>
      </c>
      <c r="L43" t="b">
        <v>1</v>
      </c>
      <c r="M43" t="b">
        <v>1</v>
      </c>
      <c r="N43" t="b">
        <v>1</v>
      </c>
      <c r="O43" t="b">
        <v>0</v>
      </c>
      <c r="P43" s="312" t="s">
        <v>4061</v>
      </c>
      <c r="Q43" t="s">
        <v>4109</v>
      </c>
    </row>
    <row r="44" spans="1:17" x14ac:dyDescent="0.3">
      <c r="A44" t="s">
        <v>4406</v>
      </c>
      <c r="B44" t="str">
        <f t="shared" si="2"/>
        <v/>
      </c>
      <c r="C44" s="58" t="s">
        <v>3754</v>
      </c>
      <c r="D44" s="58">
        <f>VLOOKUP(C44,Tableaux!$BS:$BU,3,FALSE)</f>
        <v>0</v>
      </c>
      <c r="E44" s="58">
        <v>2</v>
      </c>
      <c r="F44" s="217">
        <f>déIntellect</f>
        <v>0</v>
      </c>
      <c r="G44" s="308" t="s">
        <v>4184</v>
      </c>
      <c r="H44" t="b">
        <v>1</v>
      </c>
      <c r="I44" t="b">
        <v>0</v>
      </c>
      <c r="J44" t="b">
        <v>1</v>
      </c>
      <c r="K44" t="b">
        <v>0</v>
      </c>
      <c r="L44" t="b">
        <v>1</v>
      </c>
      <c r="M44" t="b">
        <v>0</v>
      </c>
      <c r="N44" t="b">
        <v>0</v>
      </c>
      <c r="O44" t="b">
        <v>1</v>
      </c>
      <c r="P44" s="312" t="s">
        <v>4404</v>
      </c>
      <c r="Q44" t="s">
        <v>4405</v>
      </c>
    </row>
    <row r="45" spans="1:17" x14ac:dyDescent="0.3">
      <c r="A45" t="s">
        <v>3558</v>
      </c>
      <c r="B45" t="str">
        <f>IF(Vérif_Détérré="X",A45,"")</f>
        <v/>
      </c>
      <c r="C45" s="58" t="s">
        <v>3754</v>
      </c>
      <c r="D45" s="58">
        <f>VLOOKUP(C45,Tableaux!$BS:$BU,3,FALSE)</f>
        <v>0</v>
      </c>
      <c r="E45" s="58" t="s">
        <v>522</v>
      </c>
      <c r="F45" s="217" t="s">
        <v>958</v>
      </c>
      <c r="G45" s="308" t="s">
        <v>4045</v>
      </c>
      <c r="H45" t="b">
        <v>0</v>
      </c>
      <c r="I45" t="b">
        <v>0</v>
      </c>
      <c r="J45" t="b">
        <v>0</v>
      </c>
      <c r="K45" t="b">
        <v>0</v>
      </c>
      <c r="L45" t="b">
        <v>0</v>
      </c>
      <c r="M45" t="b">
        <v>0</v>
      </c>
      <c r="N45" t="b">
        <v>0</v>
      </c>
      <c r="O45" t="b">
        <v>0</v>
      </c>
      <c r="P45" s="312" t="s">
        <v>4122</v>
      </c>
      <c r="Q45" t="s">
        <v>4120</v>
      </c>
    </row>
    <row r="46" spans="1:17" x14ac:dyDescent="0.3">
      <c r="A46" t="s">
        <v>5300</v>
      </c>
      <c r="B46" t="str">
        <f>IF(Vérif_Détérré="X",A46,"")</f>
        <v/>
      </c>
      <c r="C46" s="58" t="s">
        <v>3753</v>
      </c>
      <c r="D46" s="58">
        <f>VLOOKUP(C46,Tableaux!$BS:$BU,3,FALSE)</f>
        <v>60</v>
      </c>
      <c r="E46" s="58">
        <v>10</v>
      </c>
      <c r="F46" s="217" t="s">
        <v>958</v>
      </c>
      <c r="G46" s="308" t="s">
        <v>4019</v>
      </c>
      <c r="H46" t="b">
        <v>0</v>
      </c>
      <c r="I46" t="b">
        <v>0</v>
      </c>
      <c r="J46" t="b">
        <v>0</v>
      </c>
      <c r="K46" t="b">
        <v>0</v>
      </c>
      <c r="L46" t="b">
        <v>0</v>
      </c>
      <c r="M46" t="b">
        <v>0</v>
      </c>
      <c r="N46" t="b">
        <v>0</v>
      </c>
      <c r="O46" t="b">
        <v>0</v>
      </c>
      <c r="P46" s="312" t="s">
        <v>5301</v>
      </c>
      <c r="Q46" t="s">
        <v>4405</v>
      </c>
    </row>
    <row r="47" spans="1:17" x14ac:dyDescent="0.3">
      <c r="A47" t="s">
        <v>3983</v>
      </c>
      <c r="B47" t="str">
        <f>IF(Primes&lt;D47,"",IF(OR(AND(H47=TRUE,chaman=TRUE),AND(I47=TRUE,croyant=TRUE),AND(J47=TRUE,occulte=TRUE),AND(L47=TRUE,sciencefolle=TRUE),AND(N47=TRUE,Illumination=TRUE),AND(O47=TRUE,vaudou=TRUE)),A47,""))</f>
        <v/>
      </c>
      <c r="C47" s="58" t="s">
        <v>3754</v>
      </c>
      <c r="D47" s="58">
        <f>VLOOKUP(C47,Tableaux!$BS:$BU,3,FALSE)</f>
        <v>0</v>
      </c>
      <c r="E47" s="58">
        <v>2</v>
      </c>
      <c r="F47" s="217" t="s">
        <v>3994</v>
      </c>
      <c r="G47" s="308" t="s">
        <v>4184</v>
      </c>
      <c r="H47" t="b">
        <v>1</v>
      </c>
      <c r="I47" t="b">
        <v>1</v>
      </c>
      <c r="J47" t="b">
        <v>0</v>
      </c>
      <c r="K47" t="b">
        <v>1</v>
      </c>
      <c r="L47" t="b">
        <v>1</v>
      </c>
      <c r="M47" t="b">
        <v>1</v>
      </c>
      <c r="N47" t="b">
        <v>1</v>
      </c>
      <c r="O47" t="b">
        <v>1</v>
      </c>
      <c r="P47" s="312" t="s">
        <v>4062</v>
      </c>
      <c r="Q47" t="s">
        <v>4109</v>
      </c>
    </row>
    <row r="48" spans="1:17" x14ac:dyDescent="0.3">
      <c r="A48" t="s">
        <v>3559</v>
      </c>
      <c r="B48" t="str">
        <f>IF(Vérif_Détérré="X",A48,"")</f>
        <v/>
      </c>
      <c r="C48" s="58" t="s">
        <v>3754</v>
      </c>
      <c r="D48" s="58">
        <f>VLOOKUP(C48,Tableaux!$BS:$BU,3,FALSE)</f>
        <v>0</v>
      </c>
      <c r="E48" s="58" t="s">
        <v>522</v>
      </c>
      <c r="F48" s="217" t="s">
        <v>958</v>
      </c>
      <c r="G48" s="308" t="s">
        <v>4045</v>
      </c>
      <c r="H48" t="b">
        <v>0</v>
      </c>
      <c r="I48" t="b">
        <v>0</v>
      </c>
      <c r="J48" t="b">
        <v>0</v>
      </c>
      <c r="K48" t="b">
        <v>0</v>
      </c>
      <c r="L48" t="b">
        <v>0</v>
      </c>
      <c r="M48" t="b">
        <v>0</v>
      </c>
      <c r="N48" t="b">
        <v>0</v>
      </c>
      <c r="O48" t="b">
        <v>0</v>
      </c>
      <c r="P48" s="312" t="s">
        <v>4137</v>
      </c>
      <c r="Q48" t="s">
        <v>4120</v>
      </c>
    </row>
    <row r="49" spans="1:17" x14ac:dyDescent="0.3">
      <c r="A49" t="s">
        <v>3999</v>
      </c>
      <c r="B49" t="str">
        <f>IF(Primes&lt;D49,"",IF(OR(AND(H49=TRUE,chaman=TRUE),AND(I49=TRUE,croyant=TRUE),AND(J49=TRUE,occulte=TRUE),AND(L49=TRUE,sciencefolle=TRUE),AND(N49=TRUE,Illumination=TRUE),AND(O49=TRUE,vaudou=TRUE)),A49,""))</f>
        <v/>
      </c>
      <c r="C49" s="58" t="s">
        <v>3752</v>
      </c>
      <c r="D49" s="58">
        <f>VLOOKUP(C49,Tableaux!$BS:$BU,3,FALSE)</f>
        <v>40</v>
      </c>
      <c r="E49" s="58" t="s">
        <v>4000</v>
      </c>
      <c r="F49" s="217" t="s">
        <v>3994</v>
      </c>
      <c r="G49" s="308" t="s">
        <v>4041</v>
      </c>
      <c r="H49" t="b">
        <v>1</v>
      </c>
      <c r="I49" t="b">
        <v>1</v>
      </c>
      <c r="J49" t="b">
        <v>0</v>
      </c>
      <c r="K49" t="b">
        <v>1</v>
      </c>
      <c r="L49" t="b">
        <v>1</v>
      </c>
      <c r="M49" t="b">
        <v>0</v>
      </c>
      <c r="N49" t="b">
        <v>0</v>
      </c>
      <c r="O49" t="b">
        <v>1</v>
      </c>
      <c r="P49" s="312" t="s">
        <v>4063</v>
      </c>
      <c r="Q49" t="s">
        <v>4109</v>
      </c>
    </row>
    <row r="50" spans="1:17" x14ac:dyDescent="0.3">
      <c r="A50" t="s">
        <v>4124</v>
      </c>
      <c r="B50" t="str">
        <f>IF(Vérif_Détérré="X",A50,"")</f>
        <v/>
      </c>
      <c r="C50" s="58" t="s">
        <v>3754</v>
      </c>
      <c r="D50" s="58">
        <f>VLOOKUP(C50,Tableaux!$BS:$BU,3,FALSE)</f>
        <v>0</v>
      </c>
      <c r="E50" s="58" t="s">
        <v>522</v>
      </c>
      <c r="F50" s="217" t="s">
        <v>958</v>
      </c>
      <c r="G50" s="308" t="s">
        <v>2090</v>
      </c>
      <c r="H50" t="b">
        <v>0</v>
      </c>
      <c r="I50" t="b">
        <v>0</v>
      </c>
      <c r="J50" t="b">
        <v>0</v>
      </c>
      <c r="K50" t="b">
        <v>0</v>
      </c>
      <c r="L50" t="b">
        <v>0</v>
      </c>
      <c r="M50" t="b">
        <v>0</v>
      </c>
      <c r="N50" t="b">
        <v>0</v>
      </c>
      <c r="O50" t="b">
        <v>0</v>
      </c>
      <c r="P50" s="312" t="s">
        <v>4123</v>
      </c>
      <c r="Q50" t="s">
        <v>4120</v>
      </c>
    </row>
    <row r="51" spans="1:17" x14ac:dyDescent="0.3">
      <c r="A51" t="s">
        <v>1882</v>
      </c>
      <c r="B51" t="str">
        <f>IF(Primes&lt;D51,"",IF(OR(AND(H51=TRUE,chaman=TRUE),AND(I51=TRUE,croyant=TRUE),AND(J51=TRUE,occulte=TRUE),AND(L51=TRUE,sciencefolle=TRUE),AND(N51=TRUE,Illumination=TRUE),AND(O51=TRUE,vaudou=TRUE),Nature=TRUE),A51,""))</f>
        <v/>
      </c>
      <c r="C51" s="58" t="s">
        <v>3754</v>
      </c>
      <c r="D51" s="58">
        <f>VLOOKUP(C51,Tableaux!$BS:$BU,3,FALSE)</f>
        <v>0</v>
      </c>
      <c r="E51" s="58">
        <v>3</v>
      </c>
      <c r="F51" s="217" t="s">
        <v>3994</v>
      </c>
      <c r="G51" s="308" t="s">
        <v>4041</v>
      </c>
      <c r="H51" t="b">
        <v>1</v>
      </c>
      <c r="I51" t="b">
        <v>1</v>
      </c>
      <c r="J51" t="b">
        <v>0</v>
      </c>
      <c r="K51" t="b">
        <v>1</v>
      </c>
      <c r="L51" t="b">
        <v>1</v>
      </c>
      <c r="M51" t="b">
        <v>0</v>
      </c>
      <c r="N51" t="b">
        <v>1</v>
      </c>
      <c r="O51" t="b">
        <v>1</v>
      </c>
      <c r="P51" s="312" t="s">
        <v>4064</v>
      </c>
      <c r="Q51" t="s">
        <v>4107</v>
      </c>
    </row>
    <row r="52" spans="1:17" x14ac:dyDescent="0.3">
      <c r="A52" t="s">
        <v>3560</v>
      </c>
      <c r="B52" t="str">
        <f>IF(Vérif_Détérré="X",A52,"")</f>
        <v/>
      </c>
      <c r="C52" s="58" t="s">
        <v>3754</v>
      </c>
      <c r="D52" s="58">
        <f>VLOOKUP(C52,Tableaux!$BS:$BU,3,FALSE)</f>
        <v>0</v>
      </c>
      <c r="E52" s="58" t="s">
        <v>522</v>
      </c>
      <c r="F52" s="217" t="s">
        <v>958</v>
      </c>
      <c r="G52" s="308" t="s">
        <v>4045</v>
      </c>
      <c r="H52" t="b">
        <v>0</v>
      </c>
      <c r="I52" t="b">
        <v>0</v>
      </c>
      <c r="J52" t="b">
        <v>0</v>
      </c>
      <c r="K52" t="b">
        <v>0</v>
      </c>
      <c r="L52" t="b">
        <v>0</v>
      </c>
      <c r="M52" t="b">
        <v>0</v>
      </c>
      <c r="N52" t="b">
        <v>0</v>
      </c>
      <c r="O52" t="b">
        <v>0</v>
      </c>
      <c r="P52" s="312" t="s">
        <v>3561</v>
      </c>
      <c r="Q52" t="s">
        <v>4120</v>
      </c>
    </row>
    <row r="53" spans="1:17" x14ac:dyDescent="0.3">
      <c r="A53" t="s">
        <v>3562</v>
      </c>
      <c r="B53" t="str">
        <f>IF(Vérif_Détérré="X",A53,"")</f>
        <v/>
      </c>
      <c r="C53" s="58" t="s">
        <v>3754</v>
      </c>
      <c r="D53" s="58">
        <f>VLOOKUP(C53,Tableaux!$BS:$BU,3,FALSE)</f>
        <v>0</v>
      </c>
      <c r="E53" s="58" t="s">
        <v>522</v>
      </c>
      <c r="F53" s="217" t="s">
        <v>958</v>
      </c>
      <c r="G53" s="308" t="s">
        <v>4043</v>
      </c>
      <c r="H53" t="b">
        <v>0</v>
      </c>
      <c r="I53" t="b">
        <v>0</v>
      </c>
      <c r="J53" t="b">
        <v>0</v>
      </c>
      <c r="K53" t="b">
        <v>0</v>
      </c>
      <c r="L53" t="b">
        <v>0</v>
      </c>
      <c r="M53" t="b">
        <v>0</v>
      </c>
      <c r="N53" t="b">
        <v>0</v>
      </c>
      <c r="O53" t="b">
        <v>0</v>
      </c>
      <c r="P53" s="312" t="s">
        <v>4128</v>
      </c>
      <c r="Q53" t="s">
        <v>4127</v>
      </c>
    </row>
    <row r="54" spans="1:17" x14ac:dyDescent="0.3">
      <c r="A54" t="s">
        <v>1772</v>
      </c>
      <c r="B54" t="str">
        <f t="shared" ref="B54:B64" si="3">IF(Primes&lt;D54,"",IF(OR(AND(H54=TRUE,chaman=TRUE),AND(I54=TRUE,croyant=TRUE),AND(J54=TRUE,occulte=TRUE),AND(L54=TRUE,sciencefolle=TRUE),AND(N54=TRUE,Illumination=TRUE),AND(O54=TRUE,vaudou=TRUE)),A54,""))</f>
        <v/>
      </c>
      <c r="C54" s="58" t="s">
        <v>3754</v>
      </c>
      <c r="D54" s="58">
        <f>VLOOKUP(C54,Tableaux!$BS:$BU,3,FALSE)</f>
        <v>0</v>
      </c>
      <c r="E54" s="58">
        <v>5</v>
      </c>
      <c r="F54" s="217" t="s">
        <v>1814</v>
      </c>
      <c r="G54" s="308" t="s">
        <v>4041</v>
      </c>
      <c r="H54" t="b">
        <v>0</v>
      </c>
      <c r="I54" t="b">
        <v>1</v>
      </c>
      <c r="J54" t="b">
        <v>0</v>
      </c>
      <c r="K54" t="b">
        <v>0</v>
      </c>
      <c r="L54" t="b">
        <v>0</v>
      </c>
      <c r="M54" t="b">
        <v>0</v>
      </c>
      <c r="N54" t="b">
        <v>0</v>
      </c>
      <c r="O54" t="b">
        <v>1</v>
      </c>
      <c r="P54" s="312" t="s">
        <v>4065</v>
      </c>
      <c r="Q54" t="s">
        <v>4107</v>
      </c>
    </row>
    <row r="55" spans="1:17" x14ac:dyDescent="0.3">
      <c r="A55" t="s">
        <v>4001</v>
      </c>
      <c r="B55" t="str">
        <f t="shared" si="3"/>
        <v/>
      </c>
      <c r="C55" s="58" t="s">
        <v>3751</v>
      </c>
      <c r="D55" s="58">
        <f>VLOOKUP(C55,Tableaux!$BS:$BU,3,FALSE)</f>
        <v>20</v>
      </c>
      <c r="E55" s="58">
        <v>5</v>
      </c>
      <c r="F55" s="217" t="s">
        <v>4002</v>
      </c>
      <c r="G55" s="308" t="s">
        <v>4184</v>
      </c>
      <c r="H55" t="b">
        <v>0</v>
      </c>
      <c r="I55" t="b">
        <v>0</v>
      </c>
      <c r="J55" t="b">
        <v>1</v>
      </c>
      <c r="K55" t="b">
        <v>1</v>
      </c>
      <c r="L55" t="b">
        <v>1</v>
      </c>
      <c r="M55" t="b">
        <v>1</v>
      </c>
      <c r="N55" t="b">
        <v>0</v>
      </c>
      <c r="O55" t="b">
        <v>0</v>
      </c>
      <c r="P55" s="312" t="s">
        <v>4066</v>
      </c>
      <c r="Q55" t="s">
        <v>4107</v>
      </c>
    </row>
    <row r="56" spans="1:17" x14ac:dyDescent="0.3">
      <c r="A56" t="s">
        <v>4003</v>
      </c>
      <c r="B56" t="str">
        <f t="shared" si="3"/>
        <v/>
      </c>
      <c r="C56" s="58" t="s">
        <v>3751</v>
      </c>
      <c r="D56" s="58">
        <f>VLOOKUP(C56,Tableaux!$BS:$BU,3,FALSE)</f>
        <v>20</v>
      </c>
      <c r="E56" s="58">
        <v>5</v>
      </c>
      <c r="F56" s="217" t="s">
        <v>4002</v>
      </c>
      <c r="G56" s="308" t="s">
        <v>4044</v>
      </c>
      <c r="H56" t="b">
        <v>0</v>
      </c>
      <c r="I56" t="b">
        <v>1</v>
      </c>
      <c r="J56" t="b">
        <v>1</v>
      </c>
      <c r="K56" t="b">
        <v>1</v>
      </c>
      <c r="L56" t="b">
        <v>0</v>
      </c>
      <c r="M56" t="b">
        <v>0</v>
      </c>
      <c r="N56" t="b">
        <v>1</v>
      </c>
      <c r="O56" t="b">
        <v>1</v>
      </c>
      <c r="P56" s="312" t="s">
        <v>4067</v>
      </c>
      <c r="Q56" t="s">
        <v>4106</v>
      </c>
    </row>
    <row r="57" spans="1:17" x14ac:dyDescent="0.3">
      <c r="A57" t="s">
        <v>4188</v>
      </c>
      <c r="B57" t="str">
        <f t="shared" si="3"/>
        <v/>
      </c>
      <c r="C57" s="58" t="s">
        <v>3754</v>
      </c>
      <c r="D57" s="58">
        <f>VLOOKUP(C57,Tableaux!$BS:$BU,3,FALSE)</f>
        <v>0</v>
      </c>
      <c r="E57" s="58">
        <v>3</v>
      </c>
      <c r="F57" s="217">
        <f>déIntellect</f>
        <v>0</v>
      </c>
      <c r="G57" s="308">
        <v>1</v>
      </c>
      <c r="H57" t="b">
        <v>1</v>
      </c>
      <c r="I57" t="b">
        <v>0</v>
      </c>
      <c r="J57" t="b">
        <v>1</v>
      </c>
      <c r="K57" t="b">
        <v>0</v>
      </c>
      <c r="L57" t="b">
        <v>1</v>
      </c>
      <c r="M57" t="b">
        <v>0</v>
      </c>
      <c r="N57" t="b">
        <v>0</v>
      </c>
      <c r="O57" t="b">
        <v>1</v>
      </c>
      <c r="P57" s="312" t="s">
        <v>4199</v>
      </c>
      <c r="Q57" t="s">
        <v>4410</v>
      </c>
    </row>
    <row r="58" spans="1:17" x14ac:dyDescent="0.3">
      <c r="A58" t="s">
        <v>3984</v>
      </c>
      <c r="B58" t="str">
        <f t="shared" si="3"/>
        <v/>
      </c>
      <c r="C58" s="58" t="s">
        <v>3754</v>
      </c>
      <c r="D58" s="58">
        <f>VLOOKUP(C58,Tableaux!$BS:$BU,3,FALSE)</f>
        <v>0</v>
      </c>
      <c r="E58" s="58">
        <v>1</v>
      </c>
      <c r="F58" s="217" t="s">
        <v>3994</v>
      </c>
      <c r="G58" s="308" t="s">
        <v>4004</v>
      </c>
      <c r="H58" t="b">
        <v>0</v>
      </c>
      <c r="I58" t="b">
        <v>1</v>
      </c>
      <c r="J58" t="b">
        <v>1</v>
      </c>
      <c r="K58" t="b">
        <v>1</v>
      </c>
      <c r="L58" t="b">
        <v>1</v>
      </c>
      <c r="M58" t="b">
        <v>1</v>
      </c>
      <c r="N58" t="b">
        <v>0</v>
      </c>
      <c r="O58" t="b">
        <v>1</v>
      </c>
      <c r="P58" s="312" t="s">
        <v>4068</v>
      </c>
      <c r="Q58" t="s">
        <v>4106</v>
      </c>
    </row>
    <row r="59" spans="1:17" x14ac:dyDescent="0.3">
      <c r="A59" t="s">
        <v>3985</v>
      </c>
      <c r="B59" t="str">
        <f t="shared" si="3"/>
        <v/>
      </c>
      <c r="C59" s="58" t="s">
        <v>3754</v>
      </c>
      <c r="D59" s="58">
        <f>VLOOKUP(C59,Tableaux!$BS:$BU,3,FALSE)</f>
        <v>0</v>
      </c>
      <c r="E59" s="58">
        <v>3</v>
      </c>
      <c r="F59" s="217" t="s">
        <v>4005</v>
      </c>
      <c r="G59" s="308" t="s">
        <v>4006</v>
      </c>
      <c r="H59" t="b">
        <v>1</v>
      </c>
      <c r="I59" t="b">
        <v>0</v>
      </c>
      <c r="J59" t="b">
        <v>1</v>
      </c>
      <c r="K59" t="b">
        <v>1</v>
      </c>
      <c r="L59" t="b">
        <v>1</v>
      </c>
      <c r="M59" t="b">
        <v>1</v>
      </c>
      <c r="N59" t="b">
        <v>0</v>
      </c>
      <c r="O59" t="b">
        <v>1</v>
      </c>
      <c r="P59" s="312" t="s">
        <v>4069</v>
      </c>
      <c r="Q59" t="s">
        <v>4106</v>
      </c>
    </row>
    <row r="60" spans="1:17" x14ac:dyDescent="0.3">
      <c r="A60" t="s">
        <v>2078</v>
      </c>
      <c r="B60" t="str">
        <f t="shared" si="3"/>
        <v/>
      </c>
      <c r="C60" s="58" t="s">
        <v>3751</v>
      </c>
      <c r="D60" s="58">
        <f>VLOOKUP(C60,Tableaux!$BS:$BU,3,FALSE)</f>
        <v>20</v>
      </c>
      <c r="E60" s="58">
        <v>8</v>
      </c>
      <c r="F60" s="217" t="s">
        <v>3994</v>
      </c>
      <c r="G60" s="308" t="s">
        <v>4044</v>
      </c>
      <c r="H60" t="b">
        <v>1</v>
      </c>
      <c r="I60" t="b">
        <v>0</v>
      </c>
      <c r="J60" t="b">
        <v>0</v>
      </c>
      <c r="K60" t="b">
        <v>1</v>
      </c>
      <c r="L60" t="b">
        <v>0</v>
      </c>
      <c r="M60" t="b">
        <v>0</v>
      </c>
      <c r="N60" t="b">
        <v>0</v>
      </c>
      <c r="O60" t="b">
        <v>1</v>
      </c>
      <c r="P60" s="312" t="s">
        <v>4070</v>
      </c>
      <c r="Q60" t="s">
        <v>4106</v>
      </c>
    </row>
    <row r="61" spans="1:17" x14ac:dyDescent="0.3">
      <c r="A61" t="s">
        <v>4007</v>
      </c>
      <c r="B61" t="str">
        <f t="shared" si="3"/>
        <v/>
      </c>
      <c r="C61" s="58" t="s">
        <v>3754</v>
      </c>
      <c r="D61" s="58">
        <f>VLOOKUP(C61,Tableaux!$BS:$BU,3,FALSE)</f>
        <v>0</v>
      </c>
      <c r="E61" s="58">
        <v>1</v>
      </c>
      <c r="F61" s="217">
        <f>déIntellect*2</f>
        <v>0</v>
      </c>
      <c r="G61" s="308" t="s">
        <v>4041</v>
      </c>
      <c r="H61" t="b">
        <v>1</v>
      </c>
      <c r="I61" t="b">
        <v>1</v>
      </c>
      <c r="J61" t="b">
        <v>1</v>
      </c>
      <c r="K61" t="b">
        <v>1</v>
      </c>
      <c r="L61" t="b">
        <v>1</v>
      </c>
      <c r="M61" t="b">
        <v>1</v>
      </c>
      <c r="N61" t="b">
        <v>1</v>
      </c>
      <c r="O61" t="b">
        <v>1</v>
      </c>
      <c r="P61" s="312" t="s">
        <v>4071</v>
      </c>
      <c r="Q61" t="s">
        <v>4105</v>
      </c>
    </row>
    <row r="62" spans="1:17" x14ac:dyDescent="0.3">
      <c r="A62" t="s">
        <v>4008</v>
      </c>
      <c r="B62" t="str">
        <f t="shared" si="3"/>
        <v/>
      </c>
      <c r="C62" s="58" t="s">
        <v>3754</v>
      </c>
      <c r="D62" s="58">
        <f>VLOOKUP(C62,Tableaux!$BS:$BU,3,FALSE)</f>
        <v>0</v>
      </c>
      <c r="E62" s="58">
        <v>1</v>
      </c>
      <c r="F62" s="217">
        <f>déIntellect*2</f>
        <v>0</v>
      </c>
      <c r="G62" s="308" t="s">
        <v>4041</v>
      </c>
      <c r="H62" t="b">
        <v>0</v>
      </c>
      <c r="I62" t="b">
        <v>1</v>
      </c>
      <c r="J62" t="b">
        <v>0</v>
      </c>
      <c r="K62" t="b">
        <v>1</v>
      </c>
      <c r="L62" t="b">
        <v>1</v>
      </c>
      <c r="M62" t="b">
        <v>1</v>
      </c>
      <c r="N62" t="b">
        <v>0</v>
      </c>
      <c r="O62" t="b">
        <v>1</v>
      </c>
      <c r="P62" s="312" t="s">
        <v>4074</v>
      </c>
      <c r="Q62" t="s">
        <v>4105</v>
      </c>
    </row>
    <row r="63" spans="1:17" x14ac:dyDescent="0.3">
      <c r="A63" t="s">
        <v>4009</v>
      </c>
      <c r="B63" t="str">
        <f t="shared" si="3"/>
        <v/>
      </c>
      <c r="C63" s="58" t="s">
        <v>3754</v>
      </c>
      <c r="D63" s="58">
        <f>VLOOKUP(C63,Tableaux!$BS:$BU,3,FALSE)</f>
        <v>0</v>
      </c>
      <c r="E63" s="58">
        <v>1</v>
      </c>
      <c r="F63" s="217">
        <f>déIntellect*2</f>
        <v>0</v>
      </c>
      <c r="G63" s="308" t="s">
        <v>4041</v>
      </c>
      <c r="H63" t="b">
        <v>0</v>
      </c>
      <c r="I63" t="b">
        <v>0</v>
      </c>
      <c r="J63" t="b">
        <v>1</v>
      </c>
      <c r="K63" t="b">
        <v>1</v>
      </c>
      <c r="L63" t="b">
        <v>1</v>
      </c>
      <c r="M63" t="b">
        <v>1</v>
      </c>
      <c r="N63" t="b">
        <v>0</v>
      </c>
      <c r="O63" t="b">
        <v>1</v>
      </c>
      <c r="P63" s="312" t="s">
        <v>4073</v>
      </c>
      <c r="Q63" t="s">
        <v>4105</v>
      </c>
    </row>
    <row r="64" spans="1:17" x14ac:dyDescent="0.3">
      <c r="A64" t="s">
        <v>4010</v>
      </c>
      <c r="B64" t="str">
        <f t="shared" si="3"/>
        <v/>
      </c>
      <c r="C64" s="58" t="s">
        <v>3754</v>
      </c>
      <c r="D64" s="58">
        <f>VLOOKUP(C64,Tableaux!$BS:$BU,3,FALSE)</f>
        <v>0</v>
      </c>
      <c r="E64" s="58">
        <v>1</v>
      </c>
      <c r="F64" s="217">
        <f>déIntellect*2</f>
        <v>0</v>
      </c>
      <c r="G64" s="308" t="s">
        <v>4041</v>
      </c>
      <c r="H64" t="b">
        <v>1</v>
      </c>
      <c r="I64" t="b">
        <v>0</v>
      </c>
      <c r="J64" t="b">
        <v>0</v>
      </c>
      <c r="K64" t="b">
        <v>1</v>
      </c>
      <c r="L64" t="b">
        <v>1</v>
      </c>
      <c r="M64" t="b">
        <v>1</v>
      </c>
      <c r="N64" t="b">
        <v>0</v>
      </c>
      <c r="O64" t="b">
        <v>0</v>
      </c>
      <c r="P64" s="312" t="s">
        <v>4072</v>
      </c>
      <c r="Q64" t="s">
        <v>4105</v>
      </c>
    </row>
    <row r="65" spans="1:17" x14ac:dyDescent="0.3">
      <c r="A65" t="s">
        <v>4422</v>
      </c>
      <c r="B65" t="str">
        <f>IF(Primes&lt;D65,"",IF(OR(AND(H65=TRUE,chaman=TRUE),AND(I65=TRUE,croyant=TRUE),AND(J65=TRUE,occulte=TRUE),AND(L65=TRUE,sciencefolle=TRUE),AND(N65=TRUE,Illumination=TRUE),AND(O65=TRUE,vaudou=TRUE),Nature=TRUE),A65,""))</f>
        <v/>
      </c>
      <c r="C65" s="58" t="s">
        <v>3754</v>
      </c>
      <c r="D65" s="58">
        <f>VLOOKUP(C65,Tableaux!$BS:$BU,3,FALSE)</f>
        <v>0</v>
      </c>
      <c r="E65" s="58">
        <v>1</v>
      </c>
      <c r="F65" s="217" t="s">
        <v>4002</v>
      </c>
      <c r="G65" s="308" t="s">
        <v>4011</v>
      </c>
      <c r="H65" t="b">
        <v>1</v>
      </c>
      <c r="I65" t="b">
        <v>0</v>
      </c>
      <c r="J65" t="b">
        <v>1</v>
      </c>
      <c r="K65" t="b">
        <v>1</v>
      </c>
      <c r="L65" t="b">
        <v>1</v>
      </c>
      <c r="M65" t="b">
        <v>1</v>
      </c>
      <c r="N65" t="b">
        <v>1</v>
      </c>
      <c r="O65" t="b">
        <v>0</v>
      </c>
      <c r="P65" s="312" t="s">
        <v>4075</v>
      </c>
      <c r="Q65" t="s">
        <v>4105</v>
      </c>
    </row>
    <row r="66" spans="1:17" x14ac:dyDescent="0.3">
      <c r="A66" t="s">
        <v>4012</v>
      </c>
      <c r="B66" t="str">
        <f>IF(Primes&lt;D66,"",IF(OR(AND(H66=TRUE,chaman=TRUE),AND(I66=TRUE,croyant=TRUE),AND(J66=TRUE,occulte=TRUE),AND(L66=TRUE,sciencefolle=TRUE),AND(N66=TRUE,Illumination=TRUE),AND(O66=TRUE,vaudou=TRUE)),A66,""))</f>
        <v/>
      </c>
      <c r="C66" s="58" t="s">
        <v>3752</v>
      </c>
      <c r="D66" s="58">
        <f>VLOOKUP(C66,Tableaux!$BS:$BU,3,FALSE)</f>
        <v>40</v>
      </c>
      <c r="E66" s="58">
        <v>3</v>
      </c>
      <c r="F66" s="217">
        <f>déIntellect</f>
        <v>0</v>
      </c>
      <c r="G66" s="308" t="s">
        <v>4184</v>
      </c>
      <c r="H66" t="b">
        <v>0</v>
      </c>
      <c r="I66" t="b">
        <v>0</v>
      </c>
      <c r="J66" t="b">
        <v>1</v>
      </c>
      <c r="K66" t="b">
        <v>1</v>
      </c>
      <c r="L66" t="b">
        <v>1</v>
      </c>
      <c r="M66" t="b">
        <v>1</v>
      </c>
      <c r="N66" t="b">
        <v>0</v>
      </c>
      <c r="O66" t="b">
        <v>1</v>
      </c>
      <c r="P66" s="312" t="s">
        <v>4076</v>
      </c>
      <c r="Q66" t="s">
        <v>4105</v>
      </c>
    </row>
    <row r="67" spans="1:17" x14ac:dyDescent="0.3">
      <c r="A67" t="s">
        <v>4407</v>
      </c>
      <c r="B67" t="str">
        <f>IF(Primes&lt;D67,"",IF(OR(AND(H67=TRUE,chaman=TRUE),AND(I67=TRUE,croyant=TRUE),AND(J67=TRUE,occulte=TRUE),AND(L67=TRUE,sciencefolle=TRUE),AND(N67=TRUE,Illumination=TRUE),AND(O67=TRUE,vaudou=TRUE)),A67,""))</f>
        <v/>
      </c>
      <c r="C67" s="58" t="s">
        <v>3754</v>
      </c>
      <c r="D67" s="58">
        <f>VLOOKUP(C67,Tableaux!$BS:$BU,3,FALSE)</f>
        <v>0</v>
      </c>
      <c r="E67" s="58">
        <v>3</v>
      </c>
      <c r="F67" s="217">
        <f>déIntellect</f>
        <v>0</v>
      </c>
      <c r="G67" s="308" t="s">
        <v>4184</v>
      </c>
      <c r="H67" t="b">
        <v>1</v>
      </c>
      <c r="I67" t="b">
        <v>0</v>
      </c>
      <c r="J67" t="b">
        <v>1</v>
      </c>
      <c r="K67" t="b">
        <v>0</v>
      </c>
      <c r="L67" t="b">
        <v>1</v>
      </c>
      <c r="M67" t="b">
        <v>0</v>
      </c>
      <c r="N67" t="b">
        <v>1</v>
      </c>
      <c r="O67" t="b">
        <v>1</v>
      </c>
      <c r="P67" s="312" t="s">
        <v>4408</v>
      </c>
      <c r="Q67" t="s">
        <v>4409</v>
      </c>
    </row>
    <row r="68" spans="1:17" x14ac:dyDescent="0.3">
      <c r="A68" t="s">
        <v>5302</v>
      </c>
      <c r="B68" t="str">
        <f>IF(Primes&lt;D68,"",IF(OR(AND(H68=TRUE,chaman=TRUE),AND(I68=TRUE,croyant=TRUE),AND(J68=TRUE,occulte=TRUE),AND(L68=TRUE,sciencefolle=TRUE),AND(N68=TRUE,Illumination=TRUE),AND(O68=TRUE,vaudou=TRUE)),A68,""))</f>
        <v/>
      </c>
      <c r="C68" s="58" t="s">
        <v>3753</v>
      </c>
      <c r="D68" s="58">
        <f>VLOOKUP(C68,Tableaux!$BS:$BU,3,FALSE)</f>
        <v>60</v>
      </c>
      <c r="E68" s="58">
        <v>3</v>
      </c>
      <c r="F68" s="217" t="s">
        <v>5303</v>
      </c>
      <c r="G68" s="308" t="s">
        <v>2073</v>
      </c>
      <c r="H68" t="b">
        <v>1</v>
      </c>
      <c r="I68" t="b">
        <v>1</v>
      </c>
      <c r="J68" t="b">
        <v>1</v>
      </c>
      <c r="K68" t="b">
        <v>1</v>
      </c>
      <c r="L68" t="b">
        <v>1</v>
      </c>
      <c r="M68" t="b">
        <v>1</v>
      </c>
      <c r="N68" t="b">
        <v>1</v>
      </c>
      <c r="O68" t="b">
        <v>1</v>
      </c>
      <c r="P68" s="312" t="s">
        <v>5304</v>
      </c>
      <c r="Q68" t="s">
        <v>4409</v>
      </c>
    </row>
    <row r="69" spans="1:17" x14ac:dyDescent="0.3">
      <c r="A69" t="s">
        <v>4411</v>
      </c>
      <c r="B69" t="str">
        <f>IF(Primes&lt;D69,"",IF(OR(AND(H69=TRUE,chaman=TRUE),AND(I69=TRUE,croyant=TRUE),AND(J69=TRUE,occulte=TRUE),AND(L69=TRUE,sciencefolle=TRUE),AND(N69=TRUE,Illumination=TRUE),AND(O69=TRUE,vaudou=TRUE),Corbeau=TRUE),A69,""))</f>
        <v/>
      </c>
      <c r="C69" s="58" t="s">
        <v>3754</v>
      </c>
      <c r="D69" s="58">
        <f>VLOOKUP(C69,Tableaux!$BS:$BU,3,FALSE)</f>
        <v>0</v>
      </c>
      <c r="E69" s="58">
        <v>3</v>
      </c>
      <c r="F69" s="217" t="s">
        <v>3994</v>
      </c>
      <c r="G69" s="308" t="s">
        <v>4044</v>
      </c>
      <c r="H69" t="b">
        <v>0</v>
      </c>
      <c r="I69" t="b">
        <v>0</v>
      </c>
      <c r="J69" t="b">
        <v>1</v>
      </c>
      <c r="K69" t="b">
        <v>1</v>
      </c>
      <c r="L69" t="b">
        <v>0</v>
      </c>
      <c r="M69" t="b">
        <v>1</v>
      </c>
      <c r="N69" t="b">
        <v>0</v>
      </c>
      <c r="O69" t="b">
        <v>0</v>
      </c>
      <c r="P69" s="312" t="s">
        <v>4077</v>
      </c>
      <c r="Q69" t="s">
        <v>4104</v>
      </c>
    </row>
    <row r="70" spans="1:17" x14ac:dyDescent="0.3">
      <c r="A70" t="s">
        <v>1555</v>
      </c>
      <c r="B70" t="str">
        <f t="shared" ref="B70:B80" si="4">IF(Primes&lt;D70,"",IF(OR(AND(H70=TRUE,chaman=TRUE),AND(I70=TRUE,croyant=TRUE),AND(J70=TRUE,occulte=TRUE),AND(L70=TRUE,sciencefolle=TRUE),AND(N70=TRUE,Illumination=TRUE),AND(O70=TRUE,vaudou=TRUE)),A70,""))</f>
        <v/>
      </c>
      <c r="C70" s="58" t="s">
        <v>3754</v>
      </c>
      <c r="D70" s="58">
        <f>VLOOKUP(C70,Tableaux!$BS:$BU,3,FALSE)</f>
        <v>0</v>
      </c>
      <c r="E70" s="58">
        <v>0</v>
      </c>
      <c r="F70" s="217" t="s">
        <v>4002</v>
      </c>
      <c r="G70" s="308" t="s">
        <v>4043</v>
      </c>
      <c r="H70" t="b">
        <v>1</v>
      </c>
      <c r="I70" t="b">
        <v>1</v>
      </c>
      <c r="J70" t="b">
        <v>0</v>
      </c>
      <c r="K70" t="b">
        <v>0</v>
      </c>
      <c r="L70" t="b">
        <v>0</v>
      </c>
      <c r="M70" t="b">
        <v>0</v>
      </c>
      <c r="N70" t="b">
        <v>0</v>
      </c>
      <c r="O70" t="b">
        <v>1</v>
      </c>
      <c r="P70" s="312" t="s">
        <v>4079</v>
      </c>
      <c r="Q70" t="s">
        <v>4104</v>
      </c>
    </row>
    <row r="71" spans="1:17" x14ac:dyDescent="0.3">
      <c r="A71" t="s">
        <v>3986</v>
      </c>
      <c r="B71" t="str">
        <f t="shared" si="4"/>
        <v/>
      </c>
      <c r="C71" s="58" t="s">
        <v>3754</v>
      </c>
      <c r="D71" s="58">
        <f>VLOOKUP(C71,Tableaux!$BS:$BU,3,FALSE)</f>
        <v>0</v>
      </c>
      <c r="E71" s="58">
        <v>2</v>
      </c>
      <c r="F71" s="217" t="s">
        <v>4013</v>
      </c>
      <c r="G71" s="308" t="s">
        <v>4041</v>
      </c>
      <c r="H71" t="b">
        <v>0</v>
      </c>
      <c r="I71" t="b">
        <v>0</v>
      </c>
      <c r="J71" t="b">
        <v>1</v>
      </c>
      <c r="K71" t="b">
        <v>1</v>
      </c>
      <c r="L71" t="b">
        <v>1</v>
      </c>
      <c r="M71" t="b">
        <v>1</v>
      </c>
      <c r="N71" t="b">
        <v>1</v>
      </c>
      <c r="O71" t="b">
        <v>0</v>
      </c>
      <c r="P71" s="312" t="s">
        <v>4080</v>
      </c>
      <c r="Q71" t="s">
        <v>4104</v>
      </c>
    </row>
    <row r="72" spans="1:17" x14ac:dyDescent="0.3">
      <c r="A72" t="s">
        <v>4204</v>
      </c>
      <c r="B72" t="str">
        <f t="shared" si="4"/>
        <v/>
      </c>
      <c r="C72" s="58" t="s">
        <v>3751</v>
      </c>
      <c r="D72" s="58">
        <f>VLOOKUP(C72,Tableaux!$BS:$BU,3,FALSE)</f>
        <v>20</v>
      </c>
      <c r="E72" s="58">
        <v>1</v>
      </c>
      <c r="F72" s="217">
        <f>déIntellect*2</f>
        <v>0</v>
      </c>
      <c r="G72" s="308" t="s">
        <v>4205</v>
      </c>
      <c r="H72" t="b">
        <v>1</v>
      </c>
      <c r="I72" t="b">
        <v>0</v>
      </c>
      <c r="J72" t="b">
        <v>1</v>
      </c>
      <c r="K72" t="b">
        <v>1</v>
      </c>
      <c r="L72" t="b">
        <v>1</v>
      </c>
      <c r="M72" t="b">
        <v>1</v>
      </c>
      <c r="N72" t="b">
        <v>1</v>
      </c>
      <c r="O72" t="b">
        <v>1</v>
      </c>
      <c r="P72" s="312" t="s">
        <v>4206</v>
      </c>
      <c r="Q72" t="s">
        <v>4375</v>
      </c>
    </row>
    <row r="73" spans="1:17" x14ac:dyDescent="0.3">
      <c r="A73" t="s">
        <v>4369</v>
      </c>
      <c r="B73" t="str">
        <f t="shared" si="4"/>
        <v/>
      </c>
      <c r="C73" s="58" t="s">
        <v>3751</v>
      </c>
      <c r="D73" s="58">
        <f>VLOOKUP(C73,Tableaux!$BS:$BU,3,FALSE)</f>
        <v>20</v>
      </c>
      <c r="E73" s="58" t="s">
        <v>4367</v>
      </c>
      <c r="F73" s="217">
        <f>déIntellect</f>
        <v>0</v>
      </c>
      <c r="G73" s="308" t="s">
        <v>4205</v>
      </c>
      <c r="H73" t="b">
        <v>0</v>
      </c>
      <c r="I73" t="b">
        <v>0</v>
      </c>
      <c r="J73" t="b">
        <v>0</v>
      </c>
      <c r="K73" t="b">
        <v>0</v>
      </c>
      <c r="L73" t="b">
        <v>1</v>
      </c>
      <c r="M73" t="b">
        <v>0</v>
      </c>
      <c r="N73" t="b">
        <v>1</v>
      </c>
      <c r="O73" t="b">
        <v>0</v>
      </c>
      <c r="P73" s="312" t="s">
        <v>4370</v>
      </c>
      <c r="Q73" t="s">
        <v>4353</v>
      </c>
    </row>
    <row r="74" spans="1:17" x14ac:dyDescent="0.3">
      <c r="A74" t="s">
        <v>17</v>
      </c>
      <c r="B74" t="str">
        <f t="shared" si="4"/>
        <v/>
      </c>
      <c r="C74" s="58" t="s">
        <v>3751</v>
      </c>
      <c r="D74" s="58">
        <f>VLOOKUP(C74,Tableaux!$BS:$BU,3,FALSE)</f>
        <v>20</v>
      </c>
      <c r="E74" s="58">
        <v>4</v>
      </c>
      <c r="F74" s="217" t="s">
        <v>3994</v>
      </c>
      <c r="G74" s="308" t="s">
        <v>4205</v>
      </c>
      <c r="H74" t="b">
        <v>1</v>
      </c>
      <c r="I74" t="b">
        <v>1</v>
      </c>
      <c r="J74" t="b">
        <v>1</v>
      </c>
      <c r="K74" t="b">
        <v>1</v>
      </c>
      <c r="L74" t="b">
        <v>1</v>
      </c>
      <c r="M74" t="b">
        <v>1</v>
      </c>
      <c r="N74" t="b">
        <v>1</v>
      </c>
      <c r="O74" t="b">
        <v>1</v>
      </c>
      <c r="P74" s="312" t="s">
        <v>4081</v>
      </c>
      <c r="Q74" t="s">
        <v>4375</v>
      </c>
    </row>
    <row r="75" spans="1:17" x14ac:dyDescent="0.3">
      <c r="A75" t="s">
        <v>4207</v>
      </c>
      <c r="B75" t="str">
        <f t="shared" si="4"/>
        <v/>
      </c>
      <c r="C75" s="58" t="s">
        <v>3751</v>
      </c>
      <c r="D75" s="58">
        <v>20</v>
      </c>
      <c r="E75" s="58" t="s">
        <v>3992</v>
      </c>
      <c r="F75" s="217">
        <f>déIntellect*2</f>
        <v>0</v>
      </c>
      <c r="G75" s="308" t="s">
        <v>4041</v>
      </c>
      <c r="H75" t="b">
        <v>0</v>
      </c>
      <c r="I75" t="b">
        <v>0</v>
      </c>
      <c r="J75" t="b">
        <v>1</v>
      </c>
      <c r="K75" t="b">
        <v>1</v>
      </c>
      <c r="L75" t="b">
        <v>1</v>
      </c>
      <c r="M75" t="b">
        <v>1</v>
      </c>
      <c r="N75" t="b">
        <v>1</v>
      </c>
      <c r="O75" t="b">
        <v>1</v>
      </c>
      <c r="P75" s="312" t="s">
        <v>4365</v>
      </c>
      <c r="Q75" t="s">
        <v>4363</v>
      </c>
    </row>
    <row r="76" spans="1:17" x14ac:dyDescent="0.3">
      <c r="A76" t="s">
        <v>3059</v>
      </c>
      <c r="B76" t="str">
        <f t="shared" si="4"/>
        <v/>
      </c>
      <c r="C76" s="58" t="s">
        <v>3752</v>
      </c>
      <c r="D76" s="58">
        <v>20</v>
      </c>
      <c r="E76" s="58" t="s">
        <v>4859</v>
      </c>
      <c r="F76" s="217" t="s">
        <v>3994</v>
      </c>
      <c r="G76" s="308" t="s">
        <v>4041</v>
      </c>
      <c r="H76" t="b">
        <v>0</v>
      </c>
      <c r="I76" t="b">
        <v>1</v>
      </c>
      <c r="J76" t="b">
        <v>1</v>
      </c>
      <c r="K76" t="b">
        <v>1</v>
      </c>
      <c r="L76" t="b">
        <v>1</v>
      </c>
      <c r="M76" t="b">
        <v>0</v>
      </c>
      <c r="N76" t="b">
        <v>1</v>
      </c>
      <c r="O76" t="b">
        <v>0</v>
      </c>
      <c r="P76" s="312" t="s">
        <v>5307</v>
      </c>
      <c r="Q76" t="s">
        <v>5305</v>
      </c>
    </row>
    <row r="77" spans="1:17" x14ac:dyDescent="0.3">
      <c r="A77" t="s">
        <v>5230</v>
      </c>
      <c r="C77" s="58" t="s">
        <v>3754</v>
      </c>
      <c r="D77" s="58">
        <v>20</v>
      </c>
      <c r="E77" s="58">
        <v>2</v>
      </c>
      <c r="F77" s="217" t="s">
        <v>3994</v>
      </c>
      <c r="G77" s="308" t="s">
        <v>4184</v>
      </c>
      <c r="H77" t="b">
        <v>0</v>
      </c>
      <c r="I77" t="b">
        <v>0</v>
      </c>
      <c r="J77" t="b">
        <v>0</v>
      </c>
      <c r="K77" t="b">
        <v>1</v>
      </c>
      <c r="L77" t="b">
        <v>0</v>
      </c>
      <c r="M77" t="b">
        <v>0</v>
      </c>
      <c r="N77" t="b">
        <v>0</v>
      </c>
      <c r="O77" t="b">
        <v>0</v>
      </c>
      <c r="P77" s="312" t="s">
        <v>5232</v>
      </c>
      <c r="Q77" t="s">
        <v>5233</v>
      </c>
    </row>
    <row r="78" spans="1:17" x14ac:dyDescent="0.3">
      <c r="A78" t="s">
        <v>4412</v>
      </c>
      <c r="B78" t="str">
        <f t="shared" si="4"/>
        <v/>
      </c>
      <c r="C78" s="58" t="s">
        <v>3754</v>
      </c>
      <c r="D78" s="58">
        <f>VLOOKUP(C78,Tableaux!$BS:$BU,3,FALSE)</f>
        <v>0</v>
      </c>
      <c r="E78" s="58">
        <v>10</v>
      </c>
      <c r="F78" s="217" t="s">
        <v>1814</v>
      </c>
      <c r="G78" s="308" t="s">
        <v>4044</v>
      </c>
      <c r="H78" t="b">
        <v>1</v>
      </c>
      <c r="I78" t="b">
        <v>1</v>
      </c>
      <c r="J78" t="b">
        <v>0</v>
      </c>
      <c r="K78" t="b">
        <v>0</v>
      </c>
      <c r="L78" t="b">
        <v>0</v>
      </c>
      <c r="M78" t="b">
        <v>0</v>
      </c>
      <c r="N78" t="b">
        <v>0</v>
      </c>
      <c r="O78" t="b">
        <v>1</v>
      </c>
      <c r="P78" s="312" t="s">
        <v>4082</v>
      </c>
      <c r="Q78" t="s">
        <v>4103</v>
      </c>
    </row>
    <row r="79" spans="1:17" x14ac:dyDescent="0.3">
      <c r="A79" t="s">
        <v>5306</v>
      </c>
      <c r="B79" t="str">
        <f t="shared" si="4"/>
        <v/>
      </c>
      <c r="C79" s="58" t="s">
        <v>3754</v>
      </c>
      <c r="D79" s="58">
        <f>VLOOKUP(C79,Tableaux!$BS:$BU,3,FALSE)</f>
        <v>0</v>
      </c>
      <c r="E79" s="58">
        <v>1</v>
      </c>
      <c r="F79" s="217" t="s">
        <v>3994</v>
      </c>
      <c r="G79" s="308" t="s">
        <v>4044</v>
      </c>
      <c r="H79" t="b">
        <v>1</v>
      </c>
      <c r="I79" t="b">
        <v>1</v>
      </c>
      <c r="J79" t="b">
        <v>0</v>
      </c>
      <c r="K79" t="b">
        <v>0</v>
      </c>
      <c r="L79" t="b">
        <v>1</v>
      </c>
      <c r="M79" t="b">
        <v>0</v>
      </c>
      <c r="N79" t="b">
        <v>0</v>
      </c>
      <c r="O79" t="b">
        <v>1</v>
      </c>
      <c r="P79" s="312" t="s">
        <v>4083</v>
      </c>
      <c r="Q79" t="s">
        <v>4103</v>
      </c>
    </row>
    <row r="80" spans="1:17" x14ac:dyDescent="0.3">
      <c r="A80" t="s">
        <v>4414</v>
      </c>
      <c r="B80" t="str">
        <f t="shared" si="4"/>
        <v/>
      </c>
      <c r="C80" s="58" t="s">
        <v>3752</v>
      </c>
      <c r="D80" s="58">
        <f>VLOOKUP(C80,Tableaux!$BS:$BU,3,FALSE)</f>
        <v>40</v>
      </c>
      <c r="E80" s="58">
        <v>5</v>
      </c>
      <c r="F80" s="217">
        <f>déIntellect*3</f>
        <v>0</v>
      </c>
      <c r="G80" s="308" t="s">
        <v>4041</v>
      </c>
      <c r="H80" t="b">
        <v>1</v>
      </c>
      <c r="I80" t="b">
        <v>0</v>
      </c>
      <c r="J80" t="b">
        <v>1</v>
      </c>
      <c r="K80" t="b">
        <v>1</v>
      </c>
      <c r="L80" t="b">
        <v>1</v>
      </c>
      <c r="M80" t="b">
        <v>0</v>
      </c>
      <c r="N80" t="b">
        <v>1</v>
      </c>
      <c r="O80" t="b">
        <v>1</v>
      </c>
      <c r="P80" s="312" t="s">
        <v>4415</v>
      </c>
      <c r="Q80" t="s">
        <v>4416</v>
      </c>
    </row>
    <row r="81" spans="1:17" x14ac:dyDescent="0.3">
      <c r="A81" t="s">
        <v>4125</v>
      </c>
      <c r="B81" t="str">
        <f>IF(Primes&lt;D81,"",IF(AND(Vérif_Détérré="X",B50&lt;&gt;""),A81,""))</f>
        <v/>
      </c>
      <c r="C81" s="58" t="s">
        <v>3752</v>
      </c>
      <c r="D81" s="58">
        <f>VLOOKUP(C81,Tableaux!$BS:$BU,3,FALSE)</f>
        <v>40</v>
      </c>
      <c r="E81" s="58" t="s">
        <v>522</v>
      </c>
      <c r="F81" s="217" t="s">
        <v>958</v>
      </c>
      <c r="G81" s="308" t="s">
        <v>2090</v>
      </c>
      <c r="H81" t="b">
        <v>0</v>
      </c>
      <c r="I81" t="b">
        <v>0</v>
      </c>
      <c r="J81" t="b">
        <v>0</v>
      </c>
      <c r="K81" t="b">
        <v>0</v>
      </c>
      <c r="L81" t="b">
        <v>0</v>
      </c>
      <c r="M81" t="b">
        <v>0</v>
      </c>
      <c r="N81" t="b">
        <v>0</v>
      </c>
      <c r="O81" t="b">
        <v>0</v>
      </c>
      <c r="P81" s="312" t="s">
        <v>4126</v>
      </c>
      <c r="Q81" t="s">
        <v>4120</v>
      </c>
    </row>
    <row r="82" spans="1:17" x14ac:dyDescent="0.3">
      <c r="A82" t="s">
        <v>4417</v>
      </c>
      <c r="B82" t="str">
        <f>IF(Primes&lt;D82,"",IF(OR(AND(H84=TRUE,chaman=TRUE),AND(I82=TRUE,croyant=TRUE),AND(J82=TRUE,occulte=TRUE),AND(L82=TRUE,sciencefolle=TRUE),AND(N82=TRUE,Illumination=TRUE),AND(O82=TRUE,vaudou=TRUE)),A82,""))</f>
        <v/>
      </c>
      <c r="C82" s="58" t="s">
        <v>3754</v>
      </c>
      <c r="D82" s="58">
        <f>VLOOKUP(C82,Tableaux!$BS:$BU,3,FALSE)</f>
        <v>0</v>
      </c>
      <c r="E82" s="58">
        <v>2</v>
      </c>
      <c r="F82" s="217">
        <f>déIntellect</f>
        <v>0</v>
      </c>
      <c r="G82" s="308" t="s">
        <v>4184</v>
      </c>
      <c r="H82" t="b">
        <v>1</v>
      </c>
      <c r="I82" t="b">
        <v>0</v>
      </c>
      <c r="J82" t="b">
        <v>1</v>
      </c>
      <c r="K82" t="b">
        <v>0</v>
      </c>
      <c r="L82" t="b">
        <v>1</v>
      </c>
      <c r="M82" t="b">
        <v>0</v>
      </c>
      <c r="N82" t="b">
        <v>1</v>
      </c>
      <c r="O82" t="b">
        <v>1</v>
      </c>
      <c r="P82" s="312" t="s">
        <v>4418</v>
      </c>
      <c r="Q82" t="s">
        <v>4419</v>
      </c>
    </row>
    <row r="83" spans="1:17" x14ac:dyDescent="0.3">
      <c r="A83" t="s">
        <v>4208</v>
      </c>
      <c r="B83" t="str">
        <f>IF(Primes&lt;D83,"",IF(OR(AND(H85=TRUE,chaman=TRUE),AND(I83=TRUE,croyant=TRUE),AND(J83=TRUE,occulte=TRUE),AND(L83=TRUE,sciencefolle=TRUE),AND(N83=TRUE,Illumination=TRUE),AND(O83=TRUE,vaudou=TRUE)),A83,""))</f>
        <v/>
      </c>
      <c r="C83" s="58" t="s">
        <v>3753</v>
      </c>
      <c r="D83" s="58">
        <f>VLOOKUP(C83,Tableaux!$BS:$BU,3,FALSE)</f>
        <v>60</v>
      </c>
      <c r="E83" s="58">
        <v>3</v>
      </c>
      <c r="F83" s="217">
        <f>déIntellect</f>
        <v>0</v>
      </c>
      <c r="G83" s="308" t="s">
        <v>4041</v>
      </c>
      <c r="H83" t="b">
        <v>1</v>
      </c>
      <c r="I83" t="b">
        <v>0</v>
      </c>
      <c r="J83" t="b">
        <v>0</v>
      </c>
      <c r="K83" t="b">
        <v>1</v>
      </c>
      <c r="L83" t="b">
        <v>1</v>
      </c>
      <c r="M83" t="b">
        <v>0</v>
      </c>
      <c r="N83" t="b">
        <v>1</v>
      </c>
      <c r="O83" t="b">
        <v>0</v>
      </c>
      <c r="P83" s="312" t="s">
        <v>4209</v>
      </c>
      <c r="Q83" t="s">
        <v>4377</v>
      </c>
    </row>
    <row r="84" spans="1:17" x14ac:dyDescent="0.3">
      <c r="A84" t="s">
        <v>4189</v>
      </c>
      <c r="B84" t="str">
        <f>IF(Primes&lt;D84,"",IF(OR(AND(H86=TRUE,chaman=TRUE),AND(I84=TRUE,croyant=TRUE),AND(J84=TRUE,occulte=TRUE),AND(L84=TRUE,sciencefolle=TRUE),AND(N84=TRUE,Illumination=TRUE),AND(O84=TRUE,vaudou=TRUE)),A84,""))</f>
        <v/>
      </c>
      <c r="C84" s="58" t="s">
        <v>3751</v>
      </c>
      <c r="D84" s="58">
        <f>VLOOKUP(C84,Tableaux!$BS:$BU,3,FALSE)</f>
        <v>20</v>
      </c>
      <c r="E84" s="58">
        <v>2</v>
      </c>
      <c r="F84" s="217">
        <f>déIntellect*2</f>
        <v>0</v>
      </c>
      <c r="G84" s="308" t="s">
        <v>4019</v>
      </c>
      <c r="H84" t="b">
        <v>1</v>
      </c>
      <c r="I84" t="b">
        <v>0</v>
      </c>
      <c r="J84" t="b">
        <v>1</v>
      </c>
      <c r="K84" t="b">
        <v>1</v>
      </c>
      <c r="L84" t="b">
        <v>1</v>
      </c>
      <c r="M84" t="b">
        <v>1</v>
      </c>
      <c r="N84" t="b">
        <v>1</v>
      </c>
      <c r="O84" t="b">
        <v>1</v>
      </c>
      <c r="P84" s="312" t="s">
        <v>4210</v>
      </c>
      <c r="Q84" t="s">
        <v>4377</v>
      </c>
    </row>
    <row r="85" spans="1:17" x14ac:dyDescent="0.3">
      <c r="A85" t="s">
        <v>4394</v>
      </c>
      <c r="B85" t="str">
        <f>IF(Primes&lt;D85,"",IF(OR(AND(H87=TRUE,chaman=TRUE),AND(I85=TRUE,croyant=TRUE),AND(J85=TRUE,occulte=TRUE),AND(L85=TRUE,sciencefolle=TRUE),AND(N85=TRUE,Illumination=TRUE),AND(O85=TRUE,vaudou=TRUE),PouvoirdeDétérré=TRUE),A85,""))</f>
        <v/>
      </c>
      <c r="C85" s="58" t="s">
        <v>3753</v>
      </c>
      <c r="D85" s="58">
        <f>VLOOKUP(C85,Tableaux!$BS:$BU,3,FALSE)</f>
        <v>60</v>
      </c>
      <c r="E85" s="58">
        <v>10</v>
      </c>
      <c r="F85" s="217" t="s">
        <v>958</v>
      </c>
      <c r="G85" s="308" t="s">
        <v>4395</v>
      </c>
      <c r="H85" t="b">
        <v>0</v>
      </c>
      <c r="I85" t="b">
        <v>0</v>
      </c>
      <c r="J85" t="b">
        <v>0</v>
      </c>
      <c r="K85" t="b">
        <v>0</v>
      </c>
      <c r="L85" t="b">
        <v>0</v>
      </c>
      <c r="M85" t="b">
        <v>0</v>
      </c>
      <c r="N85" t="b">
        <v>0</v>
      </c>
      <c r="O85" t="b">
        <v>0</v>
      </c>
      <c r="P85" s="312" t="s">
        <v>4121</v>
      </c>
      <c r="Q85" t="s">
        <v>4120</v>
      </c>
    </row>
    <row r="86" spans="1:17" x14ac:dyDescent="0.3">
      <c r="A86" t="s">
        <v>4190</v>
      </c>
      <c r="B86" t="str">
        <f>IF(Primes&lt;D86,"",IF(OR(AND(H86=TRUE,chaman=TRUE),AND(I86=TRUE,croyant=TRUE),AND(J86=TRUE,occulte=TRUE),AND(L86=TRUE,sciencefolle=TRUE),AND(N86=TRUE,Illumination=TRUE),AND(O86=TRUE,vaudou=TRUE)),A86,""))</f>
        <v/>
      </c>
      <c r="C86" s="58" t="s">
        <v>3754</v>
      </c>
      <c r="D86" s="58">
        <f>VLOOKUP(C86,Tableaux!$BS:$BU,3,FALSE)</f>
        <v>0</v>
      </c>
      <c r="E86" s="58">
        <v>1</v>
      </c>
      <c r="F86" s="217" t="s">
        <v>3994</v>
      </c>
      <c r="G86" s="308" t="s">
        <v>4041</v>
      </c>
      <c r="H86" t="b">
        <v>1</v>
      </c>
      <c r="I86" t="b">
        <v>0</v>
      </c>
      <c r="J86" t="b">
        <v>0</v>
      </c>
      <c r="K86" t="b">
        <v>0</v>
      </c>
      <c r="L86" t="b">
        <v>1</v>
      </c>
      <c r="M86" t="b">
        <v>0</v>
      </c>
      <c r="N86" t="b">
        <v>1</v>
      </c>
      <c r="O86" t="b">
        <v>0</v>
      </c>
      <c r="P86" s="312" t="s">
        <v>4426</v>
      </c>
      <c r="Q86" t="s">
        <v>2123</v>
      </c>
    </row>
    <row r="87" spans="1:17" x14ac:dyDescent="0.3">
      <c r="A87" t="s">
        <v>4130</v>
      </c>
      <c r="B87" t="str">
        <f>IF(Vérif_Détérré="X",A87,"")</f>
        <v/>
      </c>
      <c r="C87" s="58" t="s">
        <v>3754</v>
      </c>
      <c r="D87" s="58">
        <f>VLOOKUP(C87,Tableaux!$BS:$BU,3,FALSE)</f>
        <v>0</v>
      </c>
      <c r="E87" s="58" t="s">
        <v>522</v>
      </c>
      <c r="F87" s="217" t="s">
        <v>958</v>
      </c>
      <c r="G87" s="308" t="s">
        <v>4045</v>
      </c>
      <c r="H87" t="b">
        <v>0</v>
      </c>
      <c r="I87" t="b">
        <v>0</v>
      </c>
      <c r="J87" t="b">
        <v>0</v>
      </c>
      <c r="K87" t="b">
        <v>0</v>
      </c>
      <c r="L87" t="b">
        <v>0</v>
      </c>
      <c r="M87" t="b">
        <v>0</v>
      </c>
      <c r="N87" t="b">
        <v>0</v>
      </c>
      <c r="O87" t="b">
        <v>0</v>
      </c>
      <c r="P87" s="312" t="s">
        <v>4129</v>
      </c>
      <c r="Q87" t="s">
        <v>4127</v>
      </c>
    </row>
    <row r="88" spans="1:17" x14ac:dyDescent="0.3">
      <c r="A88" t="s">
        <v>4131</v>
      </c>
      <c r="B88" t="str">
        <f>IF(Primes&lt;D88,"",IF(AND(Vérif_Détérré="X",B87&lt;&gt;""),A88,""))</f>
        <v/>
      </c>
      <c r="C88" s="58" t="s">
        <v>3752</v>
      </c>
      <c r="D88" s="58">
        <f>VLOOKUP(C88,Tableaux!$BS:$BU,3,FALSE)</f>
        <v>40</v>
      </c>
      <c r="E88" s="58" t="s">
        <v>522</v>
      </c>
      <c r="F88" s="217" t="s">
        <v>958</v>
      </c>
      <c r="G88" s="308" t="s">
        <v>4045</v>
      </c>
      <c r="H88" t="b">
        <v>0</v>
      </c>
      <c r="I88" t="b">
        <v>0</v>
      </c>
      <c r="J88" t="b">
        <v>0</v>
      </c>
      <c r="K88" t="b">
        <v>0</v>
      </c>
      <c r="L88" t="b">
        <v>0</v>
      </c>
      <c r="M88" t="b">
        <v>0</v>
      </c>
      <c r="N88" t="b">
        <v>0</v>
      </c>
      <c r="O88" t="b">
        <v>0</v>
      </c>
      <c r="P88" s="312" t="s">
        <v>4132</v>
      </c>
      <c r="Q88" t="s">
        <v>4127</v>
      </c>
    </row>
    <row r="89" spans="1:17" x14ac:dyDescent="0.3">
      <c r="A89" t="s">
        <v>4015</v>
      </c>
      <c r="B89" t="str">
        <f t="shared" ref="B89:B109" si="5">IF(Primes&lt;D89,"",IF(OR(AND(H89=TRUE,chaman=TRUE),AND(I89=TRUE,croyant=TRUE),AND(J89=TRUE,occulte=TRUE),AND(L89=TRUE,sciencefolle=TRUE),AND(N89=TRUE,Illumination=TRUE),AND(O89=TRUE,vaudou=TRUE)),A89,""))</f>
        <v/>
      </c>
      <c r="C89" s="58" t="s">
        <v>3751</v>
      </c>
      <c r="D89" s="58">
        <f>VLOOKUP(C89,Tableaux!$BS:$BU,3,FALSE)</f>
        <v>20</v>
      </c>
      <c r="E89" s="58">
        <v>5</v>
      </c>
      <c r="F89" s="217">
        <f>déIntellect</f>
        <v>0</v>
      </c>
      <c r="G89" s="308" t="s">
        <v>4184</v>
      </c>
      <c r="H89" t="b">
        <v>0</v>
      </c>
      <c r="I89" t="b">
        <v>0</v>
      </c>
      <c r="J89" t="b">
        <v>1</v>
      </c>
      <c r="K89" t="b">
        <v>1</v>
      </c>
      <c r="L89" t="b">
        <v>1</v>
      </c>
      <c r="M89" t="b">
        <v>1</v>
      </c>
      <c r="N89" t="b">
        <v>0</v>
      </c>
      <c r="O89" t="b">
        <v>0</v>
      </c>
      <c r="P89" s="312" t="s">
        <v>4085</v>
      </c>
      <c r="Q89" t="s">
        <v>4103</v>
      </c>
    </row>
    <row r="90" spans="1:17" x14ac:dyDescent="0.3">
      <c r="A90" t="s">
        <v>4016</v>
      </c>
      <c r="B90" t="str">
        <f t="shared" si="5"/>
        <v/>
      </c>
      <c r="C90" s="58" t="s">
        <v>3751</v>
      </c>
      <c r="D90" s="58">
        <f>VLOOKUP(C90,Tableaux!$BS:$BU,3,FALSE)</f>
        <v>20</v>
      </c>
      <c r="E90" s="58">
        <v>5</v>
      </c>
      <c r="F90" s="217">
        <f>déIntellect</f>
        <v>0</v>
      </c>
      <c r="G90" s="308" t="s">
        <v>4184</v>
      </c>
      <c r="H90" t="b">
        <v>0</v>
      </c>
      <c r="I90" t="b">
        <v>0</v>
      </c>
      <c r="J90" t="b">
        <v>1</v>
      </c>
      <c r="K90" t="b">
        <v>1</v>
      </c>
      <c r="L90" t="b">
        <v>1</v>
      </c>
      <c r="M90" t="b">
        <v>1</v>
      </c>
      <c r="N90" t="b">
        <v>0</v>
      </c>
      <c r="O90" t="b">
        <v>0</v>
      </c>
      <c r="P90" s="312" t="str">
        <f>CONCATENATE("Une créature peut être déplacée de ", déIntellect," cases. Subit Âme+d6 points de dégâts si projection contre un mur.")</f>
        <v>Une créature peut être déplacée de  cases. Subit Âme+d6 points de dégâts si projection contre un mur.</v>
      </c>
      <c r="Q90" t="s">
        <v>4103</v>
      </c>
    </row>
    <row r="91" spans="1:17" x14ac:dyDescent="0.3">
      <c r="A91" t="s">
        <v>4014</v>
      </c>
      <c r="B91" t="str">
        <f t="shared" si="5"/>
        <v/>
      </c>
      <c r="C91" s="58" t="s">
        <v>3751</v>
      </c>
      <c r="D91" s="58">
        <f>VLOOKUP(C91,Tableaux!$BS:$BU,3,FALSE)</f>
        <v>20</v>
      </c>
      <c r="E91" s="58">
        <v>5</v>
      </c>
      <c r="F91" s="217">
        <f>déIntellect</f>
        <v>0</v>
      </c>
      <c r="G91" s="308" t="s">
        <v>4184</v>
      </c>
      <c r="H91" t="b">
        <v>0</v>
      </c>
      <c r="I91" t="b">
        <v>0</v>
      </c>
      <c r="J91" t="b">
        <v>1</v>
      </c>
      <c r="K91" t="b">
        <v>1</v>
      </c>
      <c r="L91" t="b">
        <v>1</v>
      </c>
      <c r="M91" t="b">
        <v>1</v>
      </c>
      <c r="N91" t="b">
        <v>0</v>
      </c>
      <c r="O91" t="b">
        <v>0</v>
      </c>
      <c r="P91" s="312" t="s">
        <v>4084</v>
      </c>
      <c r="Q91" t="s">
        <v>4103</v>
      </c>
    </row>
    <row r="92" spans="1:17" x14ac:dyDescent="0.3">
      <c r="A92" t="s">
        <v>4424</v>
      </c>
      <c r="B92" t="str">
        <f t="shared" si="5"/>
        <v/>
      </c>
      <c r="C92" s="58" t="s">
        <v>3754</v>
      </c>
      <c r="D92" s="58">
        <f>VLOOKUP(C92,Tableaux!$BS:$BU,3,FALSE)</f>
        <v>0</v>
      </c>
      <c r="E92" s="58">
        <v>2</v>
      </c>
      <c r="F92" s="217" t="s">
        <v>1814</v>
      </c>
      <c r="G92" s="308" t="s">
        <v>4184</v>
      </c>
      <c r="H92" t="b">
        <v>1</v>
      </c>
      <c r="I92" t="b">
        <v>0</v>
      </c>
      <c r="J92" t="b">
        <v>1</v>
      </c>
      <c r="K92" t="b">
        <v>0</v>
      </c>
      <c r="L92" t="b">
        <v>1</v>
      </c>
      <c r="M92" t="b">
        <v>0</v>
      </c>
      <c r="N92" t="b">
        <v>0</v>
      </c>
      <c r="O92" t="b">
        <v>1</v>
      </c>
      <c r="P92" s="312" t="s">
        <v>4425</v>
      </c>
      <c r="Q92" t="s">
        <v>4419</v>
      </c>
    </row>
    <row r="93" spans="1:17" x14ac:dyDescent="0.3">
      <c r="A93" t="s">
        <v>4017</v>
      </c>
      <c r="B93" t="str">
        <f t="shared" si="5"/>
        <v/>
      </c>
      <c r="C93" s="58" t="s">
        <v>3751</v>
      </c>
      <c r="D93" s="58">
        <f>VLOOKUP(C93,Tableaux!$BS:$BU,3,FALSE)</f>
        <v>20</v>
      </c>
      <c r="E93" s="58" t="s">
        <v>4018</v>
      </c>
      <c r="F93" s="217" t="s">
        <v>1814</v>
      </c>
      <c r="G93" s="308" t="s">
        <v>4041</v>
      </c>
      <c r="H93" t="b">
        <v>1</v>
      </c>
      <c r="I93" t="b">
        <v>0</v>
      </c>
      <c r="J93" t="b">
        <v>1</v>
      </c>
      <c r="K93" t="b">
        <v>1</v>
      </c>
      <c r="L93" t="b">
        <v>1</v>
      </c>
      <c r="M93" t="b">
        <v>1</v>
      </c>
      <c r="N93" t="b">
        <v>0</v>
      </c>
      <c r="O93" t="b">
        <v>0</v>
      </c>
      <c r="P93" s="312" t="s">
        <v>4086</v>
      </c>
      <c r="Q93" t="s">
        <v>4102</v>
      </c>
    </row>
    <row r="94" spans="1:17" x14ac:dyDescent="0.3">
      <c r="A94" t="s">
        <v>3987</v>
      </c>
      <c r="B94" t="str">
        <f t="shared" si="5"/>
        <v/>
      </c>
      <c r="C94" s="58" t="s">
        <v>3754</v>
      </c>
      <c r="D94" s="58">
        <f>VLOOKUP(C94,Tableaux!$BS:$BU,3,FALSE)</f>
        <v>0</v>
      </c>
      <c r="E94" s="58">
        <v>3</v>
      </c>
      <c r="F94" s="217" t="s">
        <v>1804</v>
      </c>
      <c r="G94" s="308" t="s">
        <v>4042</v>
      </c>
      <c r="H94" t="b">
        <v>1</v>
      </c>
      <c r="I94" t="b">
        <v>1</v>
      </c>
      <c r="J94" t="b">
        <v>1</v>
      </c>
      <c r="K94" t="b">
        <v>1</v>
      </c>
      <c r="L94" t="b">
        <v>1</v>
      </c>
      <c r="M94" t="b">
        <v>1</v>
      </c>
      <c r="N94" t="b">
        <v>0</v>
      </c>
      <c r="O94" t="b">
        <v>1</v>
      </c>
      <c r="P94" s="312" t="s">
        <v>4087</v>
      </c>
      <c r="Q94" t="s">
        <v>4102</v>
      </c>
    </row>
    <row r="95" spans="1:17" x14ac:dyDescent="0.3">
      <c r="A95" t="s">
        <v>3988</v>
      </c>
      <c r="B95" t="str">
        <f t="shared" si="5"/>
        <v/>
      </c>
      <c r="C95" s="58" t="s">
        <v>3754</v>
      </c>
      <c r="D95" s="58">
        <f>VLOOKUP(C95,Tableaux!$BS:$BU,3,FALSE)</f>
        <v>0</v>
      </c>
      <c r="E95" s="58">
        <v>2</v>
      </c>
      <c r="F95" s="217">
        <f>déIntellect</f>
        <v>0</v>
      </c>
      <c r="G95" s="308" t="s">
        <v>4184</v>
      </c>
      <c r="H95" t="b">
        <v>1</v>
      </c>
      <c r="I95" t="b">
        <v>0</v>
      </c>
      <c r="J95" t="b">
        <v>1</v>
      </c>
      <c r="K95" t="b">
        <v>1</v>
      </c>
      <c r="L95" t="b">
        <v>1</v>
      </c>
      <c r="M95" t="b">
        <v>1</v>
      </c>
      <c r="N95" t="b">
        <v>0</v>
      </c>
      <c r="O95" t="b">
        <v>0</v>
      </c>
      <c r="P95" s="312" t="s">
        <v>4088</v>
      </c>
      <c r="Q95" t="s">
        <v>4102</v>
      </c>
    </row>
    <row r="96" spans="1:17" x14ac:dyDescent="0.3">
      <c r="A96" t="s">
        <v>3993</v>
      </c>
      <c r="B96" t="str">
        <f t="shared" si="5"/>
        <v/>
      </c>
      <c r="C96" s="58" t="s">
        <v>3754</v>
      </c>
      <c r="D96" s="58">
        <f>VLOOKUP(C96,Tableaux!$BS:$BU,3,FALSE)</f>
        <v>0</v>
      </c>
      <c r="E96" s="58">
        <v>2</v>
      </c>
      <c r="F96" s="217">
        <f>déIntellect*2</f>
        <v>0</v>
      </c>
      <c r="G96" s="308" t="s">
        <v>4041</v>
      </c>
      <c r="H96" t="b">
        <v>1</v>
      </c>
      <c r="I96" t="b">
        <v>0</v>
      </c>
      <c r="J96" t="b">
        <v>1</v>
      </c>
      <c r="K96" t="b">
        <v>1</v>
      </c>
      <c r="L96" t="b">
        <v>1</v>
      </c>
      <c r="M96" t="b">
        <v>1</v>
      </c>
      <c r="N96" t="b">
        <v>0</v>
      </c>
      <c r="O96" t="b">
        <v>0</v>
      </c>
      <c r="P96" s="312" t="s">
        <v>4089</v>
      </c>
      <c r="Q96" t="s">
        <v>4101</v>
      </c>
    </row>
    <row r="97" spans="1:17" x14ac:dyDescent="0.3">
      <c r="A97" t="s">
        <v>5124</v>
      </c>
      <c r="C97" s="58" t="s">
        <v>3754</v>
      </c>
      <c r="D97" s="58">
        <f>VLOOKUP(C97,Tableaux!$BS:$BU,3,FALSE)</f>
        <v>0</v>
      </c>
      <c r="E97" s="58" t="s">
        <v>4138</v>
      </c>
      <c r="F97" s="217" t="s">
        <v>5125</v>
      </c>
      <c r="G97" s="308" t="s">
        <v>1814</v>
      </c>
      <c r="H97" t="b">
        <v>0</v>
      </c>
      <c r="I97" t="b">
        <v>0</v>
      </c>
      <c r="J97" t="b">
        <v>0</v>
      </c>
      <c r="K97" t="b">
        <v>0</v>
      </c>
      <c r="L97" t="b">
        <v>0</v>
      </c>
      <c r="M97" t="b">
        <v>1</v>
      </c>
      <c r="N97" t="b">
        <v>0</v>
      </c>
      <c r="O97" t="b">
        <v>0</v>
      </c>
      <c r="P97" s="312" t="s">
        <v>5126</v>
      </c>
      <c r="Q97" t="s">
        <v>5127</v>
      </c>
    </row>
    <row r="98" spans="1:17" x14ac:dyDescent="0.3">
      <c r="A98" t="s">
        <v>4420</v>
      </c>
      <c r="B98" t="str">
        <f t="shared" si="5"/>
        <v/>
      </c>
      <c r="C98" s="58" t="s">
        <v>3754</v>
      </c>
      <c r="D98" s="58">
        <f>VLOOKUP(C98,Tableaux!$BS:$BU,3,FALSE)</f>
        <v>0</v>
      </c>
      <c r="E98" s="58">
        <v>1</v>
      </c>
      <c r="F98" s="217">
        <f>déIntellect</f>
        <v>0</v>
      </c>
      <c r="G98" s="308" t="s">
        <v>4019</v>
      </c>
      <c r="H98" t="b">
        <v>0</v>
      </c>
      <c r="I98" t="b">
        <v>0</v>
      </c>
      <c r="J98" t="b">
        <v>1</v>
      </c>
      <c r="K98" t="b">
        <v>0</v>
      </c>
      <c r="L98" t="b">
        <v>0</v>
      </c>
      <c r="M98" t="b">
        <v>0</v>
      </c>
      <c r="N98" t="b">
        <v>0</v>
      </c>
      <c r="O98" t="b">
        <v>0</v>
      </c>
      <c r="P98" s="312" t="s">
        <v>4421</v>
      </c>
      <c r="Q98" t="s">
        <v>4419</v>
      </c>
    </row>
    <row r="99" spans="1:17" x14ac:dyDescent="0.3">
      <c r="A99" t="s">
        <v>4021</v>
      </c>
      <c r="B99" t="str">
        <f t="shared" si="5"/>
        <v/>
      </c>
      <c r="C99" s="58" t="s">
        <v>3751</v>
      </c>
      <c r="D99" s="58">
        <f>VLOOKUP(C99,Tableaux!$BS:$BU,3,FALSE)</f>
        <v>20</v>
      </c>
      <c r="E99" s="58">
        <v>4</v>
      </c>
      <c r="F99" s="217" t="s">
        <v>4002</v>
      </c>
      <c r="G99" s="308" t="s">
        <v>4019</v>
      </c>
      <c r="H99" t="b">
        <v>1</v>
      </c>
      <c r="I99" t="b">
        <v>0</v>
      </c>
      <c r="J99" t="b">
        <v>0</v>
      </c>
      <c r="K99" t="b">
        <v>0</v>
      </c>
      <c r="L99" t="b">
        <v>0</v>
      </c>
      <c r="M99" t="b">
        <v>0</v>
      </c>
      <c r="N99" t="b">
        <v>0</v>
      </c>
      <c r="O99" t="b">
        <v>0</v>
      </c>
      <c r="P99" s="312" t="s">
        <v>4090</v>
      </c>
      <c r="Q99" t="s">
        <v>4101</v>
      </c>
    </row>
    <row r="100" spans="1:17" x14ac:dyDescent="0.3">
      <c r="A100" t="s">
        <v>4023</v>
      </c>
      <c r="B100" t="str">
        <f t="shared" si="5"/>
        <v/>
      </c>
      <c r="C100" s="58" t="s">
        <v>3753</v>
      </c>
      <c r="D100" s="58">
        <f>VLOOKUP(C100,Tableaux!$BS:$BU,3,FALSE)</f>
        <v>60</v>
      </c>
      <c r="E100" s="58">
        <v>6</v>
      </c>
      <c r="F100" s="217" t="s">
        <v>4002</v>
      </c>
      <c r="G100" s="308" t="s">
        <v>4019</v>
      </c>
      <c r="H100" t="b">
        <v>1</v>
      </c>
      <c r="I100" t="b">
        <v>0</v>
      </c>
      <c r="J100" t="b">
        <v>0</v>
      </c>
      <c r="K100" t="b">
        <v>0</v>
      </c>
      <c r="L100" t="b">
        <v>0</v>
      </c>
      <c r="M100" t="b">
        <v>0</v>
      </c>
      <c r="N100" t="b">
        <v>0</v>
      </c>
      <c r="O100" t="b">
        <v>0</v>
      </c>
      <c r="P100" s="312" t="s">
        <v>4666</v>
      </c>
      <c r="Q100" t="s">
        <v>4101</v>
      </c>
    </row>
    <row r="101" spans="1:17" x14ac:dyDescent="0.3">
      <c r="A101" t="s">
        <v>4024</v>
      </c>
      <c r="B101" t="str">
        <f t="shared" si="5"/>
        <v/>
      </c>
      <c r="C101" s="58" t="s">
        <v>2913</v>
      </c>
      <c r="D101" s="58">
        <f>VLOOKUP(C101,Tableaux!$BS:$BU,3,FALSE)</f>
        <v>80</v>
      </c>
      <c r="E101" s="58">
        <v>7</v>
      </c>
      <c r="F101" s="217" t="s">
        <v>4002</v>
      </c>
      <c r="G101" s="308" t="s">
        <v>4019</v>
      </c>
      <c r="H101" t="b">
        <v>1</v>
      </c>
      <c r="I101" t="b">
        <v>0</v>
      </c>
      <c r="J101" t="b">
        <v>0</v>
      </c>
      <c r="K101" t="b">
        <v>0</v>
      </c>
      <c r="L101" t="b">
        <v>0</v>
      </c>
      <c r="M101" t="b">
        <v>0</v>
      </c>
      <c r="N101" t="b">
        <v>0</v>
      </c>
      <c r="O101" t="b">
        <v>0</v>
      </c>
      <c r="P101" s="312" t="s">
        <v>4091</v>
      </c>
      <c r="Q101" t="s">
        <v>4101</v>
      </c>
    </row>
    <row r="102" spans="1:17" x14ac:dyDescent="0.3">
      <c r="A102" t="s">
        <v>4020</v>
      </c>
      <c r="B102" t="str">
        <f t="shared" si="5"/>
        <v/>
      </c>
      <c r="C102" s="58" t="s">
        <v>3754</v>
      </c>
      <c r="D102" s="58">
        <f>VLOOKUP(C102,Tableaux!$BS:$BU,3,FALSE)</f>
        <v>0</v>
      </c>
      <c r="E102" s="58">
        <v>3</v>
      </c>
      <c r="F102" s="217" t="s">
        <v>4002</v>
      </c>
      <c r="G102" s="308" t="s">
        <v>4019</v>
      </c>
      <c r="H102" t="b">
        <v>1</v>
      </c>
      <c r="I102" t="b">
        <v>0</v>
      </c>
      <c r="J102" t="b">
        <v>0</v>
      </c>
      <c r="K102" t="b">
        <v>0</v>
      </c>
      <c r="L102" t="b">
        <v>0</v>
      </c>
      <c r="M102" t="b">
        <v>0</v>
      </c>
      <c r="N102" t="b">
        <v>0</v>
      </c>
      <c r="O102" t="b">
        <v>0</v>
      </c>
      <c r="P102" s="312" t="s">
        <v>4092</v>
      </c>
      <c r="Q102" t="s">
        <v>4101</v>
      </c>
    </row>
    <row r="103" spans="1:17" x14ac:dyDescent="0.3">
      <c r="A103" t="s">
        <v>4022</v>
      </c>
      <c r="B103" t="str">
        <f t="shared" si="5"/>
        <v/>
      </c>
      <c r="C103" s="58" t="s">
        <v>3752</v>
      </c>
      <c r="D103" s="58">
        <f>VLOOKUP(C103,Tableaux!$BS:$BU,3,FALSE)</f>
        <v>40</v>
      </c>
      <c r="E103" s="58">
        <v>5</v>
      </c>
      <c r="F103" s="217" t="s">
        <v>4002</v>
      </c>
      <c r="G103" s="308" t="s">
        <v>4019</v>
      </c>
      <c r="H103" t="b">
        <v>1</v>
      </c>
      <c r="I103" t="b">
        <v>0</v>
      </c>
      <c r="J103" t="b">
        <v>0</v>
      </c>
      <c r="K103" t="b">
        <v>0</v>
      </c>
      <c r="L103" t="b">
        <v>0</v>
      </c>
      <c r="M103" t="b">
        <v>0</v>
      </c>
      <c r="N103" t="b">
        <v>0</v>
      </c>
      <c r="O103" t="b">
        <v>0</v>
      </c>
      <c r="P103" s="312" t="s">
        <v>4093</v>
      </c>
      <c r="Q103" t="s">
        <v>4101</v>
      </c>
    </row>
    <row r="104" spans="1:17" x14ac:dyDescent="0.3">
      <c r="A104" t="s">
        <v>3989</v>
      </c>
      <c r="B104" t="str">
        <f t="shared" si="5"/>
        <v/>
      </c>
      <c r="C104" s="58" t="s">
        <v>3754</v>
      </c>
      <c r="D104" s="58">
        <f>VLOOKUP(C104,Tableaux!$BS:$BU,3,FALSE)</f>
        <v>0</v>
      </c>
      <c r="E104" s="58">
        <v>1</v>
      </c>
      <c r="F104" s="217" t="s">
        <v>3994</v>
      </c>
      <c r="G104" s="308" t="s">
        <v>4184</v>
      </c>
      <c r="H104" t="b">
        <v>1</v>
      </c>
      <c r="I104" t="b">
        <v>1</v>
      </c>
      <c r="J104" t="b">
        <v>1</v>
      </c>
      <c r="K104" t="b">
        <v>1</v>
      </c>
      <c r="L104" t="b">
        <v>1</v>
      </c>
      <c r="M104" t="b">
        <v>1</v>
      </c>
      <c r="N104" t="b">
        <v>1</v>
      </c>
      <c r="O104" t="b">
        <v>1</v>
      </c>
      <c r="P104" s="312" t="s">
        <v>4094</v>
      </c>
      <c r="Q104" t="s">
        <v>4101</v>
      </c>
    </row>
    <row r="105" spans="1:17" x14ac:dyDescent="0.3">
      <c r="A105" t="s">
        <v>4025</v>
      </c>
      <c r="B105" t="str">
        <f t="shared" si="5"/>
        <v/>
      </c>
      <c r="C105" s="58" t="s">
        <v>3752</v>
      </c>
      <c r="D105" s="58">
        <f>VLOOKUP(C105,Tableaux!$BS:$BU,3,FALSE)</f>
        <v>40</v>
      </c>
      <c r="E105" s="58" t="s">
        <v>4095</v>
      </c>
      <c r="F105" s="217" t="s">
        <v>4002</v>
      </c>
      <c r="G105" s="308" t="s">
        <v>550</v>
      </c>
      <c r="H105" t="b">
        <v>1</v>
      </c>
      <c r="I105" t="b">
        <v>0</v>
      </c>
      <c r="J105" t="b">
        <v>0</v>
      </c>
      <c r="K105" t="b">
        <v>0</v>
      </c>
      <c r="L105" t="b">
        <v>0</v>
      </c>
      <c r="M105" t="b">
        <v>0</v>
      </c>
      <c r="N105" t="b">
        <v>0</v>
      </c>
      <c r="O105" t="b">
        <v>1</v>
      </c>
      <c r="P105" s="312" t="s">
        <v>4096</v>
      </c>
      <c r="Q105" t="s">
        <v>4100</v>
      </c>
    </row>
    <row r="106" spans="1:17" x14ac:dyDescent="0.3">
      <c r="A106" t="s">
        <v>4413</v>
      </c>
      <c r="B106" t="str">
        <f t="shared" si="5"/>
        <v/>
      </c>
      <c r="C106" s="58" t="s">
        <v>3754</v>
      </c>
      <c r="D106" s="58">
        <f>VLOOKUP(C106,Tableaux!$BS:$BU,3,FALSE)</f>
        <v>0</v>
      </c>
      <c r="E106" s="58">
        <v>1</v>
      </c>
      <c r="F106" s="217" t="s">
        <v>3994</v>
      </c>
      <c r="G106" s="308" t="s">
        <v>4047</v>
      </c>
      <c r="H106" t="b">
        <v>1</v>
      </c>
      <c r="I106" t="b">
        <v>0</v>
      </c>
      <c r="J106" t="b">
        <v>0</v>
      </c>
      <c r="K106" t="b">
        <v>1</v>
      </c>
      <c r="L106" t="b">
        <v>1</v>
      </c>
      <c r="M106" t="b">
        <v>0</v>
      </c>
      <c r="N106" t="b">
        <v>1</v>
      </c>
      <c r="O106" t="b">
        <v>1</v>
      </c>
      <c r="P106" s="312" t="s">
        <v>4379</v>
      </c>
      <c r="Q106" t="s">
        <v>4380</v>
      </c>
    </row>
    <row r="107" spans="1:17" x14ac:dyDescent="0.3">
      <c r="A107" t="s">
        <v>4378</v>
      </c>
      <c r="B107" t="str">
        <f t="shared" si="5"/>
        <v/>
      </c>
      <c r="C107" s="58" t="s">
        <v>3751</v>
      </c>
      <c r="D107" s="58">
        <f>VLOOKUP(C107,Tableaux!$BS:$BU,3,FALSE)</f>
        <v>20</v>
      </c>
      <c r="E107" s="58">
        <v>3</v>
      </c>
      <c r="F107" s="217" t="s">
        <v>3994</v>
      </c>
      <c r="G107" s="308" t="s">
        <v>4184</v>
      </c>
      <c r="H107" t="b">
        <v>1</v>
      </c>
      <c r="I107" t="b">
        <v>0</v>
      </c>
      <c r="J107" t="b">
        <v>1</v>
      </c>
      <c r="K107" t="b">
        <v>1</v>
      </c>
      <c r="L107" t="b">
        <v>1</v>
      </c>
      <c r="M107" t="b">
        <v>0</v>
      </c>
      <c r="N107" t="b">
        <v>0</v>
      </c>
      <c r="O107" t="b">
        <v>0</v>
      </c>
      <c r="P107" s="312" t="s">
        <v>4381</v>
      </c>
      <c r="Q107" t="s">
        <v>4380</v>
      </c>
    </row>
    <row r="108" spans="1:17" x14ac:dyDescent="0.3">
      <c r="A108" t="s">
        <v>950</v>
      </c>
      <c r="B108" t="str">
        <f t="shared" si="5"/>
        <v/>
      </c>
      <c r="C108" s="58" t="s">
        <v>3754</v>
      </c>
      <c r="D108" s="58">
        <f>VLOOKUP(C108,Tableaux!$BS:$BU,3,FALSE)</f>
        <v>0</v>
      </c>
      <c r="E108" s="58">
        <v>1</v>
      </c>
      <c r="F108" s="217" t="s">
        <v>3994</v>
      </c>
      <c r="G108" s="308" t="s">
        <v>4026</v>
      </c>
      <c r="H108" t="b">
        <v>1</v>
      </c>
      <c r="I108" t="b">
        <v>0</v>
      </c>
      <c r="J108" t="b">
        <v>1</v>
      </c>
      <c r="K108" t="b">
        <v>1</v>
      </c>
      <c r="L108" t="b">
        <v>1</v>
      </c>
      <c r="M108" t="b">
        <v>1</v>
      </c>
      <c r="N108" t="b">
        <v>1</v>
      </c>
      <c r="O108" t="b">
        <v>0</v>
      </c>
      <c r="P108" s="312" t="s">
        <v>4097</v>
      </c>
      <c r="Q108" t="s">
        <v>4100</v>
      </c>
    </row>
    <row r="109" spans="1:17" x14ac:dyDescent="0.3">
      <c r="A109" t="s">
        <v>4027</v>
      </c>
      <c r="B109" t="str">
        <f t="shared" si="5"/>
        <v/>
      </c>
      <c r="C109" s="58" t="s">
        <v>3752</v>
      </c>
      <c r="D109" s="58">
        <f>VLOOKUP(C109,Tableaux!$BS:$BU,3,FALSE)</f>
        <v>40</v>
      </c>
      <c r="E109" s="58" t="s">
        <v>4029</v>
      </c>
      <c r="F109" s="217" t="s">
        <v>3994</v>
      </c>
      <c r="G109" s="308" t="s">
        <v>4184</v>
      </c>
      <c r="H109" t="b">
        <v>0</v>
      </c>
      <c r="I109" t="b">
        <v>0</v>
      </c>
      <c r="J109" t="b">
        <v>0</v>
      </c>
      <c r="K109" t="b">
        <v>1</v>
      </c>
      <c r="L109" t="b">
        <v>1</v>
      </c>
      <c r="M109" t="b">
        <v>0</v>
      </c>
      <c r="N109" t="b">
        <v>1</v>
      </c>
      <c r="O109" t="b">
        <v>0</v>
      </c>
      <c r="P109" s="312" t="s">
        <v>4098</v>
      </c>
      <c r="Q109" t="s">
        <v>4100</v>
      </c>
    </row>
    <row r="110" spans="1:17" x14ac:dyDescent="0.3">
      <c r="A110" t="s">
        <v>4134</v>
      </c>
      <c r="B110" t="str">
        <f>IF(Vérif_Détérré="X",A110,"")</f>
        <v/>
      </c>
      <c r="C110" s="58" t="s">
        <v>3754</v>
      </c>
      <c r="D110" s="58">
        <f>VLOOKUP(C110,Tableaux!$BS:$BU,3,FALSE)</f>
        <v>0</v>
      </c>
      <c r="E110" s="58" t="s">
        <v>522</v>
      </c>
      <c r="F110" s="217" t="s">
        <v>958</v>
      </c>
      <c r="G110" s="308" t="s">
        <v>4043</v>
      </c>
      <c r="H110" t="b">
        <v>0</v>
      </c>
      <c r="I110" t="b">
        <v>0</v>
      </c>
      <c r="J110" t="b">
        <v>0</v>
      </c>
      <c r="K110" t="b">
        <v>0</v>
      </c>
      <c r="L110" t="b">
        <v>0</v>
      </c>
      <c r="M110" t="b">
        <v>0</v>
      </c>
      <c r="N110" t="b">
        <v>0</v>
      </c>
      <c r="O110" t="b">
        <v>0</v>
      </c>
      <c r="P110" s="313" t="s">
        <v>4133</v>
      </c>
      <c r="Q110" t="s">
        <v>4127</v>
      </c>
    </row>
    <row r="111" spans="1:17" x14ac:dyDescent="0.3">
      <c r="A111" t="s">
        <v>4135</v>
      </c>
      <c r="B111" t="str">
        <f>IF(Primes&lt;D111,"",IF(AND(Vérif_Détérré="X",B110&lt;&gt;""),A111,""))</f>
        <v/>
      </c>
      <c r="C111" s="58" t="s">
        <v>3751</v>
      </c>
      <c r="D111" s="58">
        <f>VLOOKUP(C111,Tableaux!$BS:$BU,3,FALSE)</f>
        <v>20</v>
      </c>
      <c r="E111" s="58" t="s">
        <v>522</v>
      </c>
      <c r="F111" s="217" t="s">
        <v>958</v>
      </c>
      <c r="G111" s="308" t="s">
        <v>4043</v>
      </c>
      <c r="H111" t="b">
        <v>0</v>
      </c>
      <c r="I111" t="b">
        <v>0</v>
      </c>
      <c r="J111" t="b">
        <v>0</v>
      </c>
      <c r="K111" t="b">
        <v>0</v>
      </c>
      <c r="L111" t="b">
        <v>0</v>
      </c>
      <c r="M111" t="b">
        <v>0</v>
      </c>
      <c r="N111" t="b">
        <v>0</v>
      </c>
      <c r="O111" t="b">
        <v>0</v>
      </c>
      <c r="P111" s="313" t="s">
        <v>4136</v>
      </c>
      <c r="Q111" t="s">
        <v>4127</v>
      </c>
    </row>
    <row r="112" spans="1:17" x14ac:dyDescent="0.3">
      <c r="A112" t="s">
        <v>4028</v>
      </c>
      <c r="B112" t="str">
        <f>IF(Primes&lt;D112,"",IF(OR(AND(H112=TRUE,chaman=TRUE),AND(I112=TRUE,croyant=TRUE),AND(J112=TRUE,occulte=TRUE),AND(L112=TRUE,sciencefolle=TRUE),AND(N112=TRUE,Illumination=TRUE),AND(O112=TRUE,vaudou=TRUE)),A112,""))</f>
        <v/>
      </c>
      <c r="C112" s="58" t="s">
        <v>3752</v>
      </c>
      <c r="D112" s="58">
        <f>VLOOKUP(C112,Tableaux!$BS:$BU,3,FALSE)</f>
        <v>40</v>
      </c>
      <c r="E112" s="58" t="s">
        <v>4030</v>
      </c>
      <c r="F112" s="217">
        <f>déIntellect</f>
        <v>0</v>
      </c>
      <c r="G112" s="308" t="s">
        <v>550</v>
      </c>
      <c r="H112" t="b">
        <v>0</v>
      </c>
      <c r="I112" t="b">
        <v>0</v>
      </c>
      <c r="J112" t="b">
        <v>0</v>
      </c>
      <c r="K112" t="b">
        <v>1</v>
      </c>
      <c r="L112" t="b">
        <v>1</v>
      </c>
      <c r="M112" t="b">
        <v>0</v>
      </c>
      <c r="N112" t="b">
        <v>0</v>
      </c>
      <c r="O112" t="b">
        <v>1</v>
      </c>
      <c r="P112" s="312" t="s">
        <v>4099</v>
      </c>
      <c r="Q112" t="s">
        <v>4100</v>
      </c>
    </row>
    <row r="113" spans="1:17" ht="15" customHeight="1" x14ac:dyDescent="0.3">
      <c r="A113" t="s">
        <v>4211</v>
      </c>
      <c r="B113" t="str">
        <f>IF(Primes&lt;D113,"",IF(OR(AND(H113=TRUE,chaman=TRUE),AND(I113=TRUE,croyant=TRUE),AND(J113=TRUE,occulte=TRUE),AND(L113=TRUE,sciencefolle=TRUE),AND(N113=TRUE,Illumination=TRUE),AND(O113=TRUE,vaudou=TRUE)),A113,""))</f>
        <v/>
      </c>
      <c r="C113" s="58" t="s">
        <v>3751</v>
      </c>
      <c r="D113" s="58">
        <f>VLOOKUP(C113,Tableaux!$BS:$BU,3,FALSE)</f>
        <v>20</v>
      </c>
      <c r="E113" s="58">
        <v>4</v>
      </c>
      <c r="F113" s="217" t="s">
        <v>3994</v>
      </c>
      <c r="G113" s="308" t="s">
        <v>4205</v>
      </c>
      <c r="H113" t="b">
        <v>1</v>
      </c>
      <c r="I113" t="b">
        <v>0</v>
      </c>
      <c r="J113" t="b">
        <v>1</v>
      </c>
      <c r="K113" t="b">
        <v>1</v>
      </c>
      <c r="L113" t="b">
        <v>1</v>
      </c>
      <c r="M113" t="b">
        <v>0</v>
      </c>
      <c r="N113" t="b">
        <v>1</v>
      </c>
      <c r="O113" t="b">
        <v>1</v>
      </c>
      <c r="P113" s="312" t="s">
        <v>4975</v>
      </c>
      <c r="Q113" t="s">
        <v>4382</v>
      </c>
    </row>
  </sheetData>
  <sortState xmlns:xlrd2="http://schemas.microsoft.com/office/spreadsheetml/2017/richdata2" ref="A71:Q113">
    <sortCondition ref="A1:A71"/>
  </sortState>
  <phoneticPr fontId="87" type="noConversion"/>
  <dataValidations count="2">
    <dataValidation type="list" allowBlank="1" showInputMessage="1" showErrorMessage="1" sqref="L77:N1048576 N1:O45 L1:L76 M2:M76 K2:K1048576 O46:O1048576 H1:J1048576 N46:N76" xr:uid="{00000000-0002-0000-0800-000000000000}">
      <formula1>VRAIFAUX</formula1>
    </dataValidation>
    <dataValidation type="list" allowBlank="1" showInputMessage="1" showErrorMessage="1" sqref="C1:D1048576" xr:uid="{00000000-0002-0000-0800-000001000000}">
      <formula1>Rang</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311</vt:i4>
      </vt:variant>
    </vt:vector>
  </HeadingPairs>
  <TitlesOfParts>
    <vt:vector size="325" baseType="lpstr">
      <vt:lpstr>Aide à la création</vt:lpstr>
      <vt:lpstr>Perso Classic</vt:lpstr>
      <vt:lpstr>Magie Classic</vt:lpstr>
      <vt:lpstr>Perso Reloaded</vt:lpstr>
      <vt:lpstr>AtoutsHandicapsMatos</vt:lpstr>
      <vt:lpstr>Combat</vt:lpstr>
      <vt:lpstr>General Store</vt:lpstr>
      <vt:lpstr>Weaponsmith</vt:lpstr>
      <vt:lpstr>Pouvoir Reloaded</vt:lpstr>
      <vt:lpstr>Surnatural</vt:lpstr>
      <vt:lpstr>Atouts</vt:lpstr>
      <vt:lpstr>Handicaps</vt:lpstr>
      <vt:lpstr>Tableaux</vt:lpstr>
      <vt:lpstr>Calc</vt:lpstr>
      <vt:lpstr>Accoutgrave</vt:lpstr>
      <vt:lpstr>Accoutlégère</vt:lpstr>
      <vt:lpstr>acrobate</vt:lpstr>
      <vt:lpstr>Ado</vt:lpstr>
      <vt:lpstr>Age</vt:lpstr>
      <vt:lpstr>agecalc</vt:lpstr>
      <vt:lpstr>Ambidextre</vt:lpstr>
      <vt:lpstr>AMS</vt:lpstr>
      <vt:lpstr>An_jeu</vt:lpstr>
      <vt:lpstr>Anahuac</vt:lpstr>
      <vt:lpstr>Année</vt:lpstr>
      <vt:lpstr>AnnéeJeu</vt:lpstr>
      <vt:lpstr>Aptitudes_Agilité</vt:lpstr>
      <vt:lpstr>Aptitudes_Ame</vt:lpstr>
      <vt:lpstr>Aptitudes_Astuce</vt:lpstr>
      <vt:lpstr>Aptitudes_Charisme</vt:lpstr>
      <vt:lpstr>Aptitudes_Con</vt:lpstr>
      <vt:lpstr>Aptitudes_Dextérité</vt:lpstr>
      <vt:lpstr>Aptitudes_Perc</vt:lpstr>
      <vt:lpstr>Aptitudes_Rapidité</vt:lpstr>
      <vt:lpstr>Arme</vt:lpstr>
      <vt:lpstr>ArmeFétiche</vt:lpstr>
      <vt:lpstr>Armures</vt:lpstr>
      <vt:lpstr>Artillerie</vt:lpstr>
      <vt:lpstr>Arts</vt:lpstr>
      <vt:lpstr>Arts_Martiaux</vt:lpstr>
      <vt:lpstr>Atouts</vt:lpstr>
      <vt:lpstr>Aura1</vt:lpstr>
      <vt:lpstr>Aura2</vt:lpstr>
      <vt:lpstr>Aura3</vt:lpstr>
      <vt:lpstr>Aura4</vt:lpstr>
      <vt:lpstr>Aura5</vt:lpstr>
      <vt:lpstr>Aux_Aguets</vt:lpstr>
      <vt:lpstr>Aztèque</vt:lpstr>
      <vt:lpstr>Bagarreur</vt:lpstr>
      <vt:lpstr>balayage</vt:lpstr>
      <vt:lpstr>Baraqué</vt:lpstr>
      <vt:lpstr>Belle</vt:lpstr>
      <vt:lpstr>Belle_g</vt:lpstr>
      <vt:lpstr>Blessures</vt:lpstr>
      <vt:lpstr>Bloc1</vt:lpstr>
      <vt:lpstr>Bloc2</vt:lpstr>
      <vt:lpstr>Bloc3</vt:lpstr>
      <vt:lpstr>Bloc4</vt:lpstr>
      <vt:lpstr>Boiteux1</vt:lpstr>
      <vt:lpstr>Boiteux2</vt:lpstr>
      <vt:lpstr>borgne</vt:lpstr>
      <vt:lpstr>Càc</vt:lpstr>
      <vt:lpstr>CalcAge</vt:lpstr>
      <vt:lpstr>CalcAllure</vt:lpstr>
      <vt:lpstr>CalcCharisme</vt:lpstr>
      <vt:lpstr>CalcParade</vt:lpstr>
      <vt:lpstr>CalcRésistance</vt:lpstr>
      <vt:lpstr>CalcTrempe</vt:lpstr>
      <vt:lpstr>Can</vt:lpstr>
      <vt:lpstr>Carrière</vt:lpstr>
      <vt:lpstr>CChi</vt:lpstr>
      <vt:lpstr>Ch</vt:lpstr>
      <vt:lpstr>chaman</vt:lpstr>
      <vt:lpstr>Chanceux</vt:lpstr>
      <vt:lpstr>Charismatique</vt:lpstr>
      <vt:lpstr>Charlatan</vt:lpstr>
      <vt:lpstr>Cheveux</vt:lpstr>
      <vt:lpstr>Chi</vt:lpstr>
      <vt:lpstr>Cmd</vt:lpstr>
      <vt:lpstr>Combatdis</vt:lpstr>
      <vt:lpstr>CompReloaded</vt:lpstr>
      <vt:lpstr>Conduire</vt:lpstr>
      <vt:lpstr>Connaissances</vt:lpstr>
      <vt:lpstr>contra</vt:lpstr>
      <vt:lpstr>Corbeau</vt:lpstr>
      <vt:lpstr>Coriace</vt:lpstr>
      <vt:lpstr>Couleur</vt:lpstr>
      <vt:lpstr>crise1</vt:lpstr>
      <vt:lpstr>crise2</vt:lpstr>
      <vt:lpstr>Croulant</vt:lpstr>
      <vt:lpstr>Croulant_Agé__fortement</vt:lpstr>
      <vt:lpstr>Croulant1</vt:lpstr>
      <vt:lpstr>Croulant2</vt:lpstr>
      <vt:lpstr>croyant</vt:lpstr>
      <vt:lpstr>DàC</vt:lpstr>
      <vt:lpstr>Dé_Ag</vt:lpstr>
      <vt:lpstr>dé_Forc</vt:lpstr>
      <vt:lpstr>déAgilité</vt:lpstr>
      <vt:lpstr>déAme</vt:lpstr>
      <vt:lpstr>déAstuce</vt:lpstr>
      <vt:lpstr>déCharisme</vt:lpstr>
      <vt:lpstr>déCombat</vt:lpstr>
      <vt:lpstr>déConnaissances</vt:lpstr>
      <vt:lpstr>déDextérité</vt:lpstr>
      <vt:lpstr>déForce</vt:lpstr>
      <vt:lpstr>Dégainer</vt:lpstr>
      <vt:lpstr>Dégen0</vt:lpstr>
      <vt:lpstr>Dégen1</vt:lpstr>
      <vt:lpstr>Dégen2</vt:lpstr>
      <vt:lpstr>Dégen3</vt:lpstr>
      <vt:lpstr>Dégen4</vt:lpstr>
      <vt:lpstr>Dégen5</vt:lpstr>
      <vt:lpstr>déIntellect</vt:lpstr>
      <vt:lpstr>Démence</vt:lpstr>
      <vt:lpstr>déPerception</vt:lpstr>
      <vt:lpstr>Der</vt:lpstr>
      <vt:lpstr>Dés</vt:lpstr>
      <vt:lpstr>Détérré</vt:lpstr>
      <vt:lpstr>déVigueur</vt:lpstr>
      <vt:lpstr>Dextrie</vt:lpstr>
      <vt:lpstr>dmg</vt:lpstr>
      <vt:lpstr>dodo</vt:lpstr>
      <vt:lpstr>Don_ciel</vt:lpstr>
      <vt:lpstr>Don_Div</vt:lpstr>
      <vt:lpstr>Douillet</vt:lpstr>
      <vt:lpstr>Dressage</vt:lpstr>
      <vt:lpstr>EA</vt:lpstr>
      <vt:lpstr>Ec</vt:lpstr>
      <vt:lpstr>Ecr</vt:lpstr>
      <vt:lpstr>El</vt:lpstr>
      <vt:lpstr>Elèvedoué</vt:lpstr>
      <vt:lpstr>Endurci</vt:lpstr>
      <vt:lpstr>Enf_Chat</vt:lpstr>
      <vt:lpstr>Ep</vt:lpstr>
      <vt:lpstr>Equipement</vt:lpstr>
      <vt:lpstr>Equitation</vt:lpstr>
      <vt:lpstr>esquive</vt:lpstr>
      <vt:lpstr>Ethnie</vt:lpstr>
      <vt:lpstr>EthniePerso</vt:lpstr>
      <vt:lpstr>étranger</vt:lpstr>
      <vt:lpstr>Ex</vt:lpstr>
      <vt:lpstr>expert</vt:lpstr>
      <vt:lpstr>extraction</vt:lpstr>
      <vt:lpstr>extriche</vt:lpstr>
      <vt:lpstr>fatigué1</vt:lpstr>
      <vt:lpstr>fatigué2</vt:lpstr>
      <vt:lpstr>fatigué3</vt:lpstr>
      <vt:lpstr>fatigué4</vt:lpstr>
      <vt:lpstr>fatigué5</vt:lpstr>
      <vt:lpstr>Faveur</vt:lpstr>
      <vt:lpstr>Fec</vt:lpstr>
      <vt:lpstr>Ferrailleur</vt:lpstr>
      <vt:lpstr>flambeur</vt:lpstr>
      <vt:lpstr>florentine</vt:lpstr>
      <vt:lpstr>Foi</vt:lpstr>
      <vt:lpstr>Fpc</vt:lpstr>
      <vt:lpstr>frénésie</vt:lpstr>
      <vt:lpstr>Fus</vt:lpstr>
      <vt:lpstr>Ga</vt:lpstr>
      <vt:lpstr>gamin</vt:lpstr>
      <vt:lpstr>Gat</vt:lpstr>
      <vt:lpstr>GrosTas1</vt:lpstr>
      <vt:lpstr>GrosTas2</vt:lpstr>
      <vt:lpstr>halloween</vt:lpstr>
      <vt:lpstr>Handicaps</vt:lpstr>
      <vt:lpstr>Illumination</vt:lpstr>
      <vt:lpstr>Inodore</vt:lpstr>
      <vt:lpstr>JDFA</vt:lpstr>
      <vt:lpstr>Jeux</vt:lpstr>
      <vt:lpstr>Jlt</vt:lpstr>
      <vt:lpstr>KFSHI</vt:lpstr>
      <vt:lpstr>KFSLS</vt:lpstr>
      <vt:lpstr>KFSLTS</vt:lpstr>
      <vt:lpstr>KFSMR</vt:lpstr>
      <vt:lpstr>KFSSA</vt:lpstr>
      <vt:lpstr>KFSSC</vt:lpstr>
      <vt:lpstr>KFSTC</vt:lpstr>
      <vt:lpstr>KFSTT</vt:lpstr>
      <vt:lpstr>KFSWC</vt:lpstr>
      <vt:lpstr>lambin1</vt:lpstr>
      <vt:lpstr>lambin2</vt:lpstr>
      <vt:lpstr>lambin3</vt:lpstr>
      <vt:lpstr>lambin4</vt:lpstr>
      <vt:lpstr>lambin5</vt:lpstr>
      <vt:lpstr>lanbin5</vt:lpstr>
      <vt:lpstr>Lancer</vt:lpstr>
      <vt:lpstr>Langues</vt:lpstr>
      <vt:lpstr>Lcup</vt:lpstr>
      <vt:lpstr>lldl</vt:lpstr>
      <vt:lpstr>Majmin</vt:lpstr>
      <vt:lpstr>maladie1</vt:lpstr>
      <vt:lpstr>maladie2</vt:lpstr>
      <vt:lpstr>maladie3</vt:lpstr>
      <vt:lpstr>Manie1</vt:lpstr>
      <vt:lpstr>Manie2</vt:lpstr>
      <vt:lpstr>Manie3</vt:lpstr>
      <vt:lpstr>Manitous</vt:lpstr>
      <vt:lpstr>mcut</vt:lpstr>
      <vt:lpstr>mda</vt:lpstr>
      <vt:lpstr>mdal</vt:lpstr>
      <vt:lpstr>Mdc</vt:lpstr>
      <vt:lpstr>mds</vt:lpstr>
      <vt:lpstr>Me</vt:lpstr>
      <vt:lpstr>mécano</vt:lpstr>
      <vt:lpstr>Médecine</vt:lpstr>
      <vt:lpstr>Menteur</vt:lpstr>
      <vt:lpstr>mépris</vt:lpstr>
      <vt:lpstr>Métiers</vt:lpstr>
      <vt:lpstr>Miracles</vt:lpstr>
      <vt:lpstr>Mo</vt:lpstr>
      <vt:lpstr>Mome1</vt:lpstr>
      <vt:lpstr>Mome2</vt:lpstr>
      <vt:lpstr>Mun</vt:lpstr>
      <vt:lpstr>Mus</vt:lpstr>
      <vt:lpstr>Nature</vt:lpstr>
      <vt:lpstr>Nausée</vt:lpstr>
      <vt:lpstr>Nb.Pouvoir.sup</vt:lpstr>
      <vt:lpstr>Nb.PP.Sup</vt:lpstr>
      <vt:lpstr>Nda</vt:lpstr>
      <vt:lpstr>No</vt:lpstr>
      <vt:lpstr>noël</vt:lpstr>
      <vt:lpstr>occulte</vt:lpstr>
      <vt:lpstr>oeuil</vt:lpstr>
      <vt:lpstr>oreille</vt:lpstr>
      <vt:lpstr>Ou</vt:lpstr>
      <vt:lpstr>Ours1</vt:lpstr>
      <vt:lpstr>Ours2</vt:lpstr>
      <vt:lpstr>Ours3</vt:lpstr>
      <vt:lpstr>Ours4</vt:lpstr>
      <vt:lpstr>Ours5</vt:lpstr>
      <vt:lpstr>Paumé</vt:lpstr>
      <vt:lpstr>Pda</vt:lpstr>
      <vt:lpstr>pdr</vt:lpstr>
      <vt:lpstr>Perception</vt:lpstr>
      <vt:lpstr>petiriche</vt:lpstr>
      <vt:lpstr>Petit</vt:lpstr>
      <vt:lpstr>Piedl1</vt:lpstr>
      <vt:lpstr>Piedl2</vt:lpstr>
      <vt:lpstr>Piedl3</vt:lpstr>
      <vt:lpstr>Piedl4</vt:lpstr>
      <vt:lpstr>Piedl5</vt:lpstr>
      <vt:lpstr>Piedtendre</vt:lpstr>
      <vt:lpstr>Poids</vt:lpstr>
      <vt:lpstr>poss4</vt:lpstr>
      <vt:lpstr>Pouvoir_Ki</vt:lpstr>
      <vt:lpstr>Pouvoirs</vt:lpstr>
      <vt:lpstr>Primes</vt:lpstr>
      <vt:lpstr>Professionnel</vt:lpstr>
      <vt:lpstr>Psa</vt:lpstr>
      <vt:lpstr>Puant</vt:lpstr>
      <vt:lpstr>RaC</vt:lpstr>
      <vt:lpstr>Rachitique</vt:lpstr>
      <vt:lpstr>Rang</vt:lpstr>
      <vt:lpstr>Rda</vt:lpstr>
      <vt:lpstr>Re</vt:lpstr>
      <vt:lpstr>Recharge_rapide</vt:lpstr>
      <vt:lpstr>Religions</vt:lpstr>
      <vt:lpstr>Reliques</vt:lpstr>
      <vt:lpstr>réputation</vt:lpstr>
      <vt:lpstr>Réseaux</vt:lpstr>
      <vt:lpstr>RgPerso</vt:lpstr>
      <vt:lpstr>riche</vt:lpstr>
      <vt:lpstr>Rituels</vt:lpstr>
      <vt:lpstr>Rl</vt:lpstr>
      <vt:lpstr>S_Tech</vt:lpstr>
      <vt:lpstr>S_vaudou</vt:lpstr>
      <vt:lpstr>sanguinaire</vt:lpstr>
      <vt:lpstr>Science</vt:lpstr>
      <vt:lpstr>sciencefolle</vt:lpstr>
      <vt:lpstr>Sexe</vt:lpstr>
      <vt:lpstr>SexePerso</vt:lpstr>
      <vt:lpstr>Sexy</vt:lpstr>
      <vt:lpstr>Sexy2</vt:lpstr>
      <vt:lpstr>Sho</vt:lpstr>
      <vt:lpstr>Signe_Astraux</vt:lpstr>
      <vt:lpstr>Signes</vt:lpstr>
      <vt:lpstr>Solide1</vt:lpstr>
      <vt:lpstr>Solide2</vt:lpstr>
      <vt:lpstr>Solide3</vt:lpstr>
      <vt:lpstr>Solide4</vt:lpstr>
      <vt:lpstr>Solide5</vt:lpstr>
      <vt:lpstr>sommeil</vt:lpstr>
      <vt:lpstr>Sorts</vt:lpstr>
      <vt:lpstr>source1</vt:lpstr>
      <vt:lpstr>source2</vt:lpstr>
      <vt:lpstr>source3</vt:lpstr>
      <vt:lpstr>Spectacle</vt:lpstr>
      <vt:lpstr>Statut_Marital</vt:lpstr>
      <vt:lpstr>Su</vt:lpstr>
      <vt:lpstr>Survie</vt:lpstr>
      <vt:lpstr>Syst.</vt:lpstr>
      <vt:lpstr>Système</vt:lpstr>
      <vt:lpstr>Taille</vt:lpstr>
      <vt:lpstr>Taille_Calc</vt:lpstr>
      <vt:lpstr>TElite</vt:lpstr>
      <vt:lpstr>Territoires</vt:lpstr>
      <vt:lpstr>Tfroide</vt:lpstr>
      <vt:lpstr>Tir</vt:lpstr>
      <vt:lpstr>Tirer</vt:lpstr>
      <vt:lpstr>Tré</vt:lpstr>
      <vt:lpstr>trèsriche</vt:lpstr>
      <vt:lpstr>Typ_Arm</vt:lpstr>
      <vt:lpstr>Typ_Che</vt:lpstr>
      <vt:lpstr>Typ_Eq</vt:lpstr>
      <vt:lpstr>Typ_pou</vt:lpstr>
      <vt:lpstr>Type_Che</vt:lpstr>
      <vt:lpstr>TypesAtout</vt:lpstr>
      <vt:lpstr>Universalis</vt:lpstr>
      <vt:lpstr>Valeur_Cartes</vt:lpstr>
      <vt:lpstr>vaudou</vt:lpstr>
      <vt:lpstr>Ve</vt:lpstr>
      <vt:lpstr>Vé</vt:lpstr>
      <vt:lpstr>Ventile</vt:lpstr>
      <vt:lpstr>Vérif_Détérré</vt:lpstr>
      <vt:lpstr>Vif</vt:lpstr>
      <vt:lpstr>Voix_ap</vt:lpstr>
      <vt:lpstr>Voix_ef</vt:lpstr>
      <vt:lpstr>Voix_mo</vt:lpstr>
      <vt:lpstr>VRAIFAUX</vt:lpstr>
      <vt:lpstr>VWW</vt:lpstr>
      <vt:lpstr>Whateley</vt:lpstr>
      <vt:lpstr>X</vt:lpstr>
      <vt:lpstr>Yeux</vt:lpstr>
      <vt:lpstr>AtoutsHandicapsMatos!Zone_d_impression</vt:lpstr>
      <vt:lpstr>'Perso Classic'!Zone_d_impression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Sylvain Brasseur</dc:creator>
  <cp:lastModifiedBy>Sabrina Brasseur</cp:lastModifiedBy>
  <cp:lastPrinted>2019-12-28T09:00:08Z</cp:lastPrinted>
  <dcterms:created xsi:type="dcterms:W3CDTF">2015-10-21T14:39:00Z</dcterms:created>
  <dcterms:modified xsi:type="dcterms:W3CDTF">2024-05-26T20:39:45Z</dcterms:modified>
</cp:coreProperties>
</file>