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omainr\OneDrive\Perso\JDR\Warhammer\"/>
    </mc:Choice>
  </mc:AlternateContent>
  <xr:revisionPtr revIDLastSave="0" documentId="13_ncr:1_{A2DF4665-DB1E-4E7C-9453-79AC943F00D6}" xr6:coauthVersionLast="47" xr6:coauthVersionMax="47" xr10:uidLastSave="{00000000-0000-0000-0000-000000000000}"/>
  <bookViews>
    <workbookView xWindow="28680" yWindow="-120" windowWidth="29040" windowHeight="16440" xr2:uid="{7A539C56-E95C-4541-A3EE-5044A81528F8}"/>
  </bookViews>
  <sheets>
    <sheet name="Introduction" sheetId="5" r:id="rId1"/>
    <sheet name="Feuille Personnage" sheetId="3" r:id="rId2"/>
    <sheet name="Final" sheetId="4" r:id="rId3"/>
    <sheet name="Caracteristique" sheetId="2" r:id="rId4"/>
    <sheet name="BD"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7" i="4" l="1"/>
  <c r="P36" i="4"/>
  <c r="CI44" i="1"/>
  <c r="CI45" i="1"/>
  <c r="CI46" i="1"/>
  <c r="CI47" i="1"/>
  <c r="CI48" i="1"/>
  <c r="CI49" i="1"/>
  <c r="CI50" i="1"/>
  <c r="CI51" i="1"/>
  <c r="CI52" i="1"/>
  <c r="CI53" i="1"/>
  <c r="CI54" i="1"/>
  <c r="CI55" i="1"/>
  <c r="CI56" i="1"/>
  <c r="CI57" i="1"/>
  <c r="CI58" i="1"/>
  <c r="CI59" i="1"/>
  <c r="CI60" i="1"/>
  <c r="CI61" i="1"/>
  <c r="CI62" i="1"/>
  <c r="CI63" i="1"/>
  <c r="CI64" i="1"/>
  <c r="CI65" i="1"/>
  <c r="CI66" i="1"/>
  <c r="CI67" i="1"/>
  <c r="CI43" i="1"/>
  <c r="F40" i="3"/>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12"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12" i="1"/>
  <c r="C14" i="3"/>
  <c r="B14" i="3"/>
  <c r="I15" i="3"/>
  <c r="J12" i="3"/>
  <c r="L51" i="3"/>
  <c r="B9" i="3"/>
  <c r="Q57" i="2" s="1"/>
  <c r="C9" i="3"/>
  <c r="Q58" i="2" s="1"/>
  <c r="D9" i="3"/>
  <c r="Q59" i="2" s="1"/>
  <c r="E9" i="3"/>
  <c r="F9" i="3"/>
  <c r="Q61" i="2" s="1"/>
  <c r="G9" i="3"/>
  <c r="Q62" i="2" s="1"/>
  <c r="H9" i="3"/>
  <c r="Q63" i="2" s="1"/>
  <c r="I9" i="3"/>
  <c r="Q64" i="2" s="1"/>
  <c r="J9" i="3"/>
  <c r="Q65" i="2" s="1"/>
  <c r="K9" i="3"/>
  <c r="Q66" i="2" s="1"/>
  <c r="P21" i="4"/>
  <c r="D3" i="4"/>
  <c r="D2" i="4"/>
  <c r="F33" i="4"/>
  <c r="F32" i="4"/>
  <c r="F30" i="4"/>
  <c r="F29" i="4"/>
  <c r="F28" i="4"/>
  <c r="F27" i="4"/>
  <c r="F26" i="4"/>
  <c r="F25" i="4"/>
  <c r="F24" i="4"/>
  <c r="F23" i="4"/>
  <c r="F22" i="4"/>
  <c r="F21" i="4"/>
  <c r="F20" i="4"/>
  <c r="F19" i="4"/>
  <c r="F18" i="4"/>
  <c r="F17" i="4"/>
  <c r="F16" i="4"/>
  <c r="F15" i="4"/>
  <c r="F14" i="4"/>
  <c r="F13" i="4"/>
  <c r="F12" i="4"/>
  <c r="F11" i="4"/>
  <c r="F10" i="4"/>
  <c r="F9" i="4"/>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DA8" i="1"/>
  <c r="DB8" i="1"/>
  <c r="DC8" i="1"/>
  <c r="DD8" i="1"/>
  <c r="DE8" i="1"/>
  <c r="DF8" i="1"/>
  <c r="DG8" i="1"/>
  <c r="DH8" i="1"/>
  <c r="DI8" i="1"/>
  <c r="DJ8" i="1"/>
  <c r="DK8" i="1"/>
  <c r="DL8" i="1"/>
  <c r="D8" i="1"/>
  <c r="M30" i="3"/>
  <c r="M29" i="3"/>
  <c r="N30" i="3"/>
  <c r="N48" i="2" a="1"/>
  <c r="N48" i="2" s="1"/>
  <c r="C48" i="2" s="1"/>
  <c r="N49" i="2" a="1"/>
  <c r="N49" i="2" s="1"/>
  <c r="D48" i="2" s="1"/>
  <c r="N50" i="2" a="1"/>
  <c r="N50" i="2" s="1"/>
  <c r="E48" i="2" s="1"/>
  <c r="N51" i="2" a="1"/>
  <c r="N51" i="2" s="1"/>
  <c r="F48" i="2" s="1"/>
  <c r="N52" i="2" a="1"/>
  <c r="N52" i="2" s="1"/>
  <c r="G48" i="2" s="1"/>
  <c r="N53" i="2" a="1"/>
  <c r="N53" i="2" s="1"/>
  <c r="H48" i="2" s="1"/>
  <c r="N54" i="2" a="1"/>
  <c r="N54" i="2" s="1"/>
  <c r="I48" i="2" s="1"/>
  <c r="N55" i="2" a="1"/>
  <c r="N55" i="2" s="1"/>
  <c r="J48" i="2" s="1"/>
  <c r="N56" i="2" a="1"/>
  <c r="N56" i="2" s="1"/>
  <c r="K48" i="2" s="1"/>
  <c r="N47" i="2" a="1"/>
  <c r="N47" i="2" s="1"/>
  <c r="B48" i="2" s="1"/>
  <c r="B79" i="2"/>
  <c r="C79" i="2" s="1"/>
  <c r="B80" i="2"/>
  <c r="C80" i="2" s="1"/>
  <c r="B81" i="2"/>
  <c r="C81" i="2" s="1"/>
  <c r="B82" i="2"/>
  <c r="C82" i="2" s="1"/>
  <c r="B83" i="2"/>
  <c r="C83" i="2" s="1"/>
  <c r="B84" i="2"/>
  <c r="C84" i="2" s="1"/>
  <c r="B85" i="2"/>
  <c r="C85" i="2" s="1"/>
  <c r="B86" i="2"/>
  <c r="C86" i="2" s="1"/>
  <c r="B87" i="2"/>
  <c r="C87" i="2" s="1"/>
  <c r="B78" i="2"/>
  <c r="DA6" i="1" a="1"/>
  <c r="DA6" i="1" s="1"/>
  <c r="DA5" i="1" a="1"/>
  <c r="DA5" i="1" s="1"/>
  <c r="DA4" i="1" a="1"/>
  <c r="DA4" i="1" s="1"/>
  <c r="DA3" i="1" a="1"/>
  <c r="DA3" i="1" s="1"/>
  <c r="DA2" i="1" a="1"/>
  <c r="DA2" i="1" s="1"/>
  <c r="CZ6" i="1" a="1"/>
  <c r="CZ6" i="1" s="1"/>
  <c r="CZ5" i="1" a="1"/>
  <c r="CZ5" i="1" s="1"/>
  <c r="CZ4" i="1" a="1"/>
  <c r="CZ4" i="1" s="1"/>
  <c r="CZ3" i="1" a="1"/>
  <c r="CZ3" i="1" s="1"/>
  <c r="CZ2" i="1" a="1"/>
  <c r="CZ2" i="1" s="1"/>
  <c r="CY6" i="1"/>
  <c r="CY5" i="1"/>
  <c r="CY4" i="1"/>
  <c r="CY3" i="1"/>
  <c r="CY2" i="1"/>
  <c r="CX6" i="1"/>
  <c r="CX5" i="1"/>
  <c r="CX4" i="1"/>
  <c r="CX3" i="1"/>
  <c r="CX2" i="1"/>
  <c r="B33" i="2"/>
  <c r="B34" i="2"/>
  <c r="B35" i="2"/>
  <c r="B36" i="2"/>
  <c r="B37" i="2"/>
  <c r="B38" i="2"/>
  <c r="B39" i="2"/>
  <c r="B40" i="2"/>
  <c r="B41" i="2"/>
  <c r="B32" i="2"/>
  <c r="Q60" i="2"/>
  <c r="N18" i="3" l="1"/>
  <c r="Q25" i="4" s="1"/>
  <c r="I22" i="4"/>
  <c r="T57" i="2" a="1"/>
  <c r="T57" i="2" s="1"/>
  <c r="N20" i="3"/>
  <c r="Q27" i="4" s="1"/>
  <c r="N17" i="3"/>
  <c r="Q24" i="4" s="1"/>
  <c r="N19" i="3"/>
  <c r="Q26" i="4" s="1"/>
  <c r="C78" i="2"/>
  <c r="D78" i="2" s="1" a="1"/>
  <c r="D78" i="2" s="1"/>
  <c r="E32" i="2" a="1"/>
  <c r="K47" i="2" s="1"/>
  <c r="B64" i="2"/>
  <c r="N39" i="3"/>
  <c r="N23" i="3"/>
  <c r="P17" i="4" s="1"/>
  <c r="E64" i="2"/>
  <c r="I3" i="3"/>
  <c r="I2" i="4" s="1"/>
  <c r="N26" i="3"/>
  <c r="P20" i="4" s="1"/>
  <c r="N25" i="3"/>
  <c r="P19" i="4" s="1"/>
  <c r="N24" i="3"/>
  <c r="P18" i="4" s="1"/>
  <c r="N46" i="3"/>
  <c r="R22" i="2" s="1"/>
  <c r="S22" i="2" s="1"/>
  <c r="T22" i="2" s="1"/>
  <c r="N45" i="3"/>
  <c r="R21" i="2" s="1"/>
  <c r="S21" i="2" s="1"/>
  <c r="T21" i="2" s="1"/>
  <c r="N44" i="3"/>
  <c r="R20" i="2" s="1"/>
  <c r="S20" i="2" s="1"/>
  <c r="T20" i="2" s="1"/>
  <c r="N43" i="3"/>
  <c r="R19" i="2" s="1"/>
  <c r="S19" i="2" s="1"/>
  <c r="T19" i="2" s="1"/>
  <c r="N42" i="3"/>
  <c r="R18" i="2" s="1"/>
  <c r="S18" i="2" s="1"/>
  <c r="T18" i="2" s="1"/>
  <c r="N41" i="3"/>
  <c r="R17" i="2" s="1"/>
  <c r="S17" i="2" s="1"/>
  <c r="T17" i="2" s="1"/>
  <c r="N40" i="3"/>
  <c r="R16" i="2" s="1"/>
  <c r="S16" i="2" s="1"/>
  <c r="T16" i="2" s="1"/>
  <c r="AL5" i="1" a="1"/>
  <c r="AL5" i="1" s="1"/>
  <c r="AL6" i="1" a="1"/>
  <c r="AL6" i="1" s="1"/>
  <c r="AL4" i="1" a="1"/>
  <c r="AL4" i="1" s="1"/>
  <c r="AL2" i="1" a="1"/>
  <c r="AL2" i="1" s="1"/>
  <c r="AL3" i="1" a="1"/>
  <c r="AL3" i="1" s="1"/>
  <c r="AK4" i="1" a="1"/>
  <c r="AK4" i="1" s="1"/>
  <c r="AJ4" i="1" a="1"/>
  <c r="AJ4" i="1" s="1"/>
  <c r="AJ2" i="1" a="1"/>
  <c r="AJ2" i="1" s="1"/>
  <c r="AI2" i="1" a="1"/>
  <c r="AI2" i="1" s="1"/>
  <c r="AH2" i="1" a="1"/>
  <c r="AH2" i="1" s="1"/>
  <c r="F19" i="3"/>
  <c r="F20" i="3"/>
  <c r="F21" i="3"/>
  <c r="F22" i="3"/>
  <c r="F23" i="3"/>
  <c r="F24" i="3"/>
  <c r="F25" i="3"/>
  <c r="F26" i="3"/>
  <c r="F27" i="3"/>
  <c r="F28" i="3"/>
  <c r="F29" i="3"/>
  <c r="F30" i="3"/>
  <c r="F31" i="3"/>
  <c r="F32" i="3"/>
  <c r="F33" i="3"/>
  <c r="F34" i="3"/>
  <c r="F35" i="3"/>
  <c r="F36" i="3"/>
  <c r="F37" i="3"/>
  <c r="F38" i="3"/>
  <c r="F39" i="3"/>
  <c r="F41" i="3"/>
  <c r="F42" i="3"/>
  <c r="F18" i="3"/>
  <c r="D10" i="2"/>
  <c r="D7" i="2"/>
  <c r="D8" i="2"/>
  <c r="D9" i="2"/>
  <c r="D5" i="2"/>
  <c r="D6" i="2"/>
  <c r="D11" i="2"/>
  <c r="D12" i="2"/>
  <c r="D13" i="2"/>
  <c r="D4" i="2"/>
  <c r="C1" i="1"/>
  <c r="B147" i="2" l="1"/>
  <c r="C147" i="2" s="1"/>
  <c r="B155" i="2"/>
  <c r="C155" i="2" s="1"/>
  <c r="B148" i="2"/>
  <c r="C148" i="2" s="1"/>
  <c r="B156" i="2"/>
  <c r="C156" i="2" s="1"/>
  <c r="B149" i="2"/>
  <c r="C149" i="2" s="1"/>
  <c r="B157" i="2"/>
  <c r="C157" i="2" s="1"/>
  <c r="B150" i="2"/>
  <c r="C150" i="2" s="1"/>
  <c r="B158" i="2"/>
  <c r="C158" i="2" s="1"/>
  <c r="B152" i="2"/>
  <c r="C152" i="2" s="1"/>
  <c r="B160" i="2"/>
  <c r="C160" i="2" s="1"/>
  <c r="B151" i="2"/>
  <c r="C151" i="2" s="1"/>
  <c r="B159" i="2"/>
  <c r="C159" i="2" s="1"/>
  <c r="B153" i="2"/>
  <c r="C153" i="2" s="1"/>
  <c r="B161" i="2"/>
  <c r="C161" i="2" s="1"/>
  <c r="B154" i="2"/>
  <c r="C154" i="2" s="1"/>
  <c r="B124" i="2"/>
  <c r="C124" i="2" s="1"/>
  <c r="B132" i="2"/>
  <c r="C132" i="2" s="1"/>
  <c r="B140" i="2"/>
  <c r="C140" i="2" s="1"/>
  <c r="B125" i="2"/>
  <c r="C125" i="2" s="1"/>
  <c r="B133" i="2"/>
  <c r="C133" i="2" s="1"/>
  <c r="B141" i="2"/>
  <c r="C141" i="2" s="1"/>
  <c r="B126" i="2"/>
  <c r="C126" i="2" s="1"/>
  <c r="B134" i="2"/>
  <c r="C134" i="2" s="1"/>
  <c r="B142" i="2"/>
  <c r="C142" i="2" s="1"/>
  <c r="B139" i="2"/>
  <c r="C139" i="2" s="1"/>
  <c r="B127" i="2"/>
  <c r="C127" i="2" s="1"/>
  <c r="B135" i="2"/>
  <c r="C135" i="2" s="1"/>
  <c r="B143" i="2"/>
  <c r="C143" i="2" s="1"/>
  <c r="B131" i="2"/>
  <c r="C131" i="2" s="1"/>
  <c r="B128" i="2"/>
  <c r="C128" i="2" s="1"/>
  <c r="B136" i="2"/>
  <c r="C136" i="2" s="1"/>
  <c r="B144" i="2"/>
  <c r="C144" i="2" s="1"/>
  <c r="B129" i="2"/>
  <c r="C129" i="2" s="1"/>
  <c r="B137" i="2"/>
  <c r="C137" i="2" s="1"/>
  <c r="B145" i="2"/>
  <c r="C145" i="2" s="1"/>
  <c r="B122" i="2"/>
  <c r="C122" i="2" s="1"/>
  <c r="B130" i="2"/>
  <c r="C130" i="2" s="1"/>
  <c r="B138" i="2"/>
  <c r="C138" i="2" s="1"/>
  <c r="B121" i="2"/>
  <c r="C121" i="2" s="1"/>
  <c r="B123" i="2"/>
  <c r="C123" i="2" s="1"/>
  <c r="B93" i="2"/>
  <c r="C93" i="2" s="1"/>
  <c r="B101" i="2"/>
  <c r="C101" i="2" s="1"/>
  <c r="B109" i="2"/>
  <c r="C109" i="2" s="1"/>
  <c r="B117" i="2"/>
  <c r="C117" i="2" s="1"/>
  <c r="B114" i="2"/>
  <c r="C114" i="2" s="1"/>
  <c r="B94" i="2"/>
  <c r="C94" i="2" s="1"/>
  <c r="B102" i="2"/>
  <c r="C102" i="2" s="1"/>
  <c r="B110" i="2"/>
  <c r="C110" i="2" s="1"/>
  <c r="B118" i="2"/>
  <c r="C118" i="2" s="1"/>
  <c r="B106" i="2"/>
  <c r="C106" i="2" s="1"/>
  <c r="B95" i="2"/>
  <c r="C95" i="2" s="1"/>
  <c r="B103" i="2"/>
  <c r="C103" i="2" s="1"/>
  <c r="B111" i="2"/>
  <c r="C111" i="2" s="1"/>
  <c r="B92" i="2"/>
  <c r="C92" i="2" s="1"/>
  <c r="B100" i="2"/>
  <c r="C100" i="2" s="1"/>
  <c r="B96" i="2"/>
  <c r="C96" i="2" s="1"/>
  <c r="B104" i="2"/>
  <c r="C104" i="2" s="1"/>
  <c r="B112" i="2"/>
  <c r="C112" i="2" s="1"/>
  <c r="B116" i="2"/>
  <c r="C116" i="2" s="1"/>
  <c r="B97" i="2"/>
  <c r="C97" i="2" s="1"/>
  <c r="B105" i="2"/>
  <c r="C105" i="2" s="1"/>
  <c r="B113" i="2"/>
  <c r="C113" i="2" s="1"/>
  <c r="B98" i="2"/>
  <c r="C98" i="2" s="1"/>
  <c r="B108" i="2"/>
  <c r="C108" i="2" s="1"/>
  <c r="B99" i="2"/>
  <c r="C99" i="2" s="1"/>
  <c r="B107" i="2"/>
  <c r="C107" i="2" s="1"/>
  <c r="B115" i="2"/>
  <c r="C115" i="2" s="1"/>
  <c r="H24" i="3"/>
  <c r="H32" i="3"/>
  <c r="H40" i="3"/>
  <c r="H21" i="3"/>
  <c r="H31" i="3"/>
  <c r="H25" i="3"/>
  <c r="H33" i="3"/>
  <c r="H41" i="3"/>
  <c r="H29" i="3"/>
  <c r="H26" i="3"/>
  <c r="H34" i="3"/>
  <c r="H42" i="3"/>
  <c r="H19" i="3"/>
  <c r="H27" i="3"/>
  <c r="H35" i="3"/>
  <c r="H18" i="3"/>
  <c r="H37" i="3"/>
  <c r="H20" i="3"/>
  <c r="H28" i="3"/>
  <c r="H36" i="3"/>
  <c r="H39" i="3"/>
  <c r="H22" i="3"/>
  <c r="H30" i="3"/>
  <c r="H38" i="3"/>
  <c r="H23" i="3"/>
  <c r="E46" i="2"/>
  <c r="A23" i="2" s="1"/>
  <c r="D46" i="2"/>
  <c r="A22" i="2" s="1"/>
  <c r="K46" i="2"/>
  <c r="A29" i="2" s="1"/>
  <c r="M13" i="3" s="1"/>
  <c r="C46" i="2"/>
  <c r="A21" i="2" s="1"/>
  <c r="G46" i="2"/>
  <c r="A25" i="2" s="1"/>
  <c r="F46" i="2"/>
  <c r="A24" i="2" s="1"/>
  <c r="J46" i="2"/>
  <c r="A28" i="2" s="1"/>
  <c r="M12" i="3" s="1"/>
  <c r="B46" i="2"/>
  <c r="A20" i="2" s="1"/>
  <c r="I46" i="2"/>
  <c r="A27" i="2" s="1"/>
  <c r="H46" i="2"/>
  <c r="A26" i="2" s="1"/>
  <c r="C34" i="1"/>
  <c r="M28" i="3" s="1"/>
  <c r="P14" i="4" s="1"/>
  <c r="R15" i="2"/>
  <c r="S15" i="2" s="1"/>
  <c r="T15" i="2" s="1"/>
  <c r="D66" i="2"/>
  <c r="D65" i="2"/>
  <c r="I47" i="2"/>
  <c r="J47" i="2"/>
  <c r="G47" i="2"/>
  <c r="H47" i="2"/>
  <c r="E47" i="2"/>
  <c r="F47" i="2"/>
  <c r="C47" i="2"/>
  <c r="D47" i="2"/>
  <c r="E32" i="2"/>
  <c r="B67" i="2"/>
  <c r="D67" i="2" s="1"/>
  <c r="B66" i="2"/>
  <c r="C97" i="1"/>
  <c r="C89" i="1"/>
  <c r="C81" i="1"/>
  <c r="C73" i="1"/>
  <c r="C65" i="1"/>
  <c r="C57" i="1"/>
  <c r="C49" i="1"/>
  <c r="C91" i="1"/>
  <c r="C83" i="1"/>
  <c r="C75" i="1"/>
  <c r="C67" i="1"/>
  <c r="C59" i="1"/>
  <c r="C51" i="1"/>
  <c r="C43" i="1"/>
  <c r="C35" i="1"/>
  <c r="C98" i="1"/>
  <c r="C90" i="1"/>
  <c r="C82" i="1"/>
  <c r="C74" i="1"/>
  <c r="C66" i="1"/>
  <c r="C58" i="1"/>
  <c r="C50" i="1"/>
  <c r="C42" i="1"/>
  <c r="C41" i="1"/>
  <c r="C96" i="1"/>
  <c r="C88" i="1"/>
  <c r="C80" i="1"/>
  <c r="C72" i="1"/>
  <c r="C64" i="1"/>
  <c r="C56" i="1"/>
  <c r="C48" i="1"/>
  <c r="C40" i="1"/>
  <c r="C95" i="1"/>
  <c r="C87" i="1"/>
  <c r="C79" i="1"/>
  <c r="C71" i="1"/>
  <c r="C63" i="1"/>
  <c r="C55" i="1"/>
  <c r="C47" i="1"/>
  <c r="C39" i="1"/>
  <c r="C94" i="1"/>
  <c r="C86" i="1"/>
  <c r="C78" i="1"/>
  <c r="C70" i="1"/>
  <c r="C62" i="1"/>
  <c r="C54" i="1"/>
  <c r="C46" i="1"/>
  <c r="C38" i="1"/>
  <c r="C93" i="1"/>
  <c r="C85" i="1"/>
  <c r="C77" i="1"/>
  <c r="C69" i="1"/>
  <c r="C61" i="1"/>
  <c r="C53" i="1"/>
  <c r="C45" i="1"/>
  <c r="C37" i="1"/>
  <c r="C92" i="1"/>
  <c r="C84" i="1"/>
  <c r="C76" i="1"/>
  <c r="C68" i="1"/>
  <c r="C60" i="1"/>
  <c r="C52" i="1"/>
  <c r="C44" i="1"/>
  <c r="C36" i="1"/>
  <c r="C27" i="1"/>
  <c r="M49" i="3" s="1"/>
  <c r="R13" i="2" s="1"/>
  <c r="S13" i="2" s="1"/>
  <c r="T13" i="2" s="1"/>
  <c r="C19" i="1"/>
  <c r="M41" i="3" s="1"/>
  <c r="R5" i="2" s="1"/>
  <c r="S5" i="2" s="1"/>
  <c r="T5" i="2" s="1"/>
  <c r="C21" i="1"/>
  <c r="M43" i="3" s="1"/>
  <c r="R7" i="2" s="1"/>
  <c r="S7" i="2" s="1"/>
  <c r="T7" i="2" s="1"/>
  <c r="C25" i="1"/>
  <c r="M47" i="3" s="1"/>
  <c r="R11" i="2" s="1"/>
  <c r="S11" i="2" s="1"/>
  <c r="T11" i="2" s="1"/>
  <c r="C29" i="1"/>
  <c r="M23" i="3" s="1"/>
  <c r="P9" i="4" s="1"/>
  <c r="C33" i="1"/>
  <c r="M27" i="3" s="1"/>
  <c r="P13" i="4" s="1"/>
  <c r="C17" i="1"/>
  <c r="M39" i="3" s="1"/>
  <c r="C20" i="1"/>
  <c r="M42" i="3" s="1"/>
  <c r="R6" i="2" s="1"/>
  <c r="S6" i="2" s="1"/>
  <c r="T6" i="2" s="1"/>
  <c r="C28" i="1"/>
  <c r="M50" i="3" s="1"/>
  <c r="R14" i="2" s="1"/>
  <c r="S14" i="2" s="1"/>
  <c r="T14" i="2" s="1"/>
  <c r="C22" i="1"/>
  <c r="M44" i="3" s="1"/>
  <c r="R8" i="2" s="1"/>
  <c r="S8" i="2" s="1"/>
  <c r="T8" i="2" s="1"/>
  <c r="C30" i="1"/>
  <c r="M24" i="3" s="1"/>
  <c r="P10" i="4" s="1"/>
  <c r="C23" i="1"/>
  <c r="M45" i="3" s="1"/>
  <c r="R9" i="2" s="1"/>
  <c r="S9" i="2" s="1"/>
  <c r="T9" i="2" s="1"/>
  <c r="C31" i="1"/>
  <c r="M25" i="3" s="1"/>
  <c r="P11" i="4" s="1"/>
  <c r="C24" i="1"/>
  <c r="M46" i="3" s="1"/>
  <c r="R10" i="2" s="1"/>
  <c r="S10" i="2" s="1"/>
  <c r="T10" i="2" s="1"/>
  <c r="C32" i="1"/>
  <c r="M26" i="3" s="1"/>
  <c r="P12" i="4" s="1"/>
  <c r="C18" i="1"/>
  <c r="M40" i="3" s="1"/>
  <c r="R4" i="2" s="1"/>
  <c r="S4" i="2" s="1"/>
  <c r="T4" i="2" s="1"/>
  <c r="C26" i="1"/>
  <c r="M48" i="3" s="1"/>
  <c r="R12" i="2" s="1"/>
  <c r="S12" i="2" s="1"/>
  <c r="T12" i="2" s="1"/>
  <c r="C11" i="1"/>
  <c r="F13" i="2" s="1"/>
  <c r="C3" i="1"/>
  <c r="F5" i="2" s="1"/>
  <c r="C10" i="1"/>
  <c r="F12" i="2" s="1"/>
  <c r="C2" i="1"/>
  <c r="F4" i="2" s="1"/>
  <c r="C9" i="1"/>
  <c r="F11" i="2" s="1"/>
  <c r="C16" i="1"/>
  <c r="F18" i="2" s="1"/>
  <c r="C8" i="1"/>
  <c r="F10" i="2" s="1"/>
  <c r="C12" i="1"/>
  <c r="F14" i="2" s="1"/>
  <c r="B13" i="3" s="1"/>
  <c r="C15" i="1"/>
  <c r="F17" i="2" s="1"/>
  <c r="D13" i="3" s="1"/>
  <c r="C7" i="1"/>
  <c r="F9" i="2" s="1"/>
  <c r="C4" i="1"/>
  <c r="F6" i="2" s="1"/>
  <c r="C14" i="1"/>
  <c r="F16" i="2" s="1"/>
  <c r="C6" i="1"/>
  <c r="F8" i="2" s="1"/>
  <c r="C13" i="1"/>
  <c r="F15" i="2" s="1"/>
  <c r="C13" i="3" s="1"/>
  <c r="C15" i="3" s="1"/>
  <c r="C5" i="1"/>
  <c r="F7" i="2" s="1"/>
  <c r="B13" i="2"/>
  <c r="B12" i="2"/>
  <c r="B4" i="2"/>
  <c r="B11" i="2"/>
  <c r="B10" i="2"/>
  <c r="B9" i="2"/>
  <c r="B8" i="2"/>
  <c r="B7" i="2"/>
  <c r="B6" i="2"/>
  <c r="B5" i="2"/>
  <c r="D147" i="2" l="1" a="1"/>
  <c r="D121" i="2" a="1"/>
  <c r="D92" i="2" a="1"/>
  <c r="H13" i="3"/>
  <c r="H15" i="3" s="1"/>
  <c r="Q3" i="4" s="1"/>
  <c r="N3" i="4"/>
  <c r="I24" i="3"/>
  <c r="I32" i="3"/>
  <c r="I40" i="3"/>
  <c r="I31" i="3"/>
  <c r="I25" i="3"/>
  <c r="I33" i="3"/>
  <c r="I41" i="3"/>
  <c r="I26" i="3"/>
  <c r="I34" i="3"/>
  <c r="I42" i="3"/>
  <c r="I23" i="3"/>
  <c r="I18" i="3"/>
  <c r="I27" i="3"/>
  <c r="I35" i="3"/>
  <c r="I20" i="3"/>
  <c r="I19" i="3"/>
  <c r="I28" i="3"/>
  <c r="I36" i="3"/>
  <c r="I21" i="3"/>
  <c r="I29" i="3"/>
  <c r="I37" i="3"/>
  <c r="I22" i="3"/>
  <c r="I30" i="3"/>
  <c r="I38" i="3"/>
  <c r="I39" i="3"/>
  <c r="I4" i="3"/>
  <c r="I3" i="4" s="1"/>
  <c r="M6" i="3"/>
  <c r="M5" i="3"/>
  <c r="M10" i="3"/>
  <c r="M7" i="3"/>
  <c r="M8" i="3"/>
  <c r="M9" i="3"/>
  <c r="R3" i="2"/>
  <c r="S3" i="2" s="1"/>
  <c r="M11" i="3"/>
  <c r="B47" i="2"/>
  <c r="M4" i="3" s="1"/>
  <c r="G8" i="3"/>
  <c r="B15" i="3"/>
  <c r="N2" i="4" s="1"/>
  <c r="D14" i="3"/>
  <c r="D15" i="3" s="1"/>
  <c r="M6" i="4" s="1"/>
  <c r="H8" i="3"/>
  <c r="F14" i="3"/>
  <c r="G14" i="3"/>
  <c r="K8" i="3"/>
  <c r="J8" i="3"/>
  <c r="I8" i="3"/>
  <c r="F8" i="3"/>
  <c r="D8" i="3"/>
  <c r="E8" i="3"/>
  <c r="B8" i="3"/>
  <c r="C8" i="3"/>
  <c r="C20" i="2"/>
  <c r="D20" i="2" s="1"/>
  <c r="D147" i="2" l="1"/>
  <c r="B67" i="3" s="1"/>
  <c r="B68" i="3"/>
  <c r="B69" i="3"/>
  <c r="D121" i="2"/>
  <c r="B63" i="3" s="1"/>
  <c r="H36" i="4" s="1"/>
  <c r="B64" i="3"/>
  <c r="H37" i="4" s="1"/>
  <c r="D92" i="2"/>
  <c r="B58" i="3" s="1"/>
  <c r="F58" i="3" s="1"/>
  <c r="B59" i="3"/>
  <c r="F59" i="3" s="1"/>
  <c r="B60" i="3"/>
  <c r="F13" i="3"/>
  <c r="F15" i="3" s="1"/>
  <c r="Q2" i="4" s="1"/>
  <c r="T3" i="2"/>
  <c r="U3" i="2" s="1" a="1"/>
  <c r="C21" i="2"/>
  <c r="D21" i="2" s="1"/>
  <c r="B38" i="4" l="1"/>
  <c r="G69" i="3"/>
  <c r="J69" i="3"/>
  <c r="F69" i="3"/>
  <c r="I69" i="3"/>
  <c r="L69" i="3"/>
  <c r="H69" i="3"/>
  <c r="K69" i="3"/>
  <c r="B37" i="4"/>
  <c r="G68" i="3"/>
  <c r="J68" i="3"/>
  <c r="F68" i="3"/>
  <c r="I68" i="3"/>
  <c r="L68" i="3"/>
  <c r="H68" i="3"/>
  <c r="K68" i="3"/>
  <c r="J67" i="3"/>
  <c r="K67" i="3"/>
  <c r="B36" i="4"/>
  <c r="F67" i="3"/>
  <c r="B40" i="4" s="1"/>
  <c r="H67" i="3"/>
  <c r="I67" i="3"/>
  <c r="L67" i="3"/>
  <c r="G67" i="3"/>
  <c r="H63" i="3"/>
  <c r="N36" i="4" s="1"/>
  <c r="F60" i="3"/>
  <c r="M33" i="4" s="1"/>
  <c r="I63" i="3"/>
  <c r="F63" i="3"/>
  <c r="L36" i="4" s="1"/>
  <c r="F64" i="3"/>
  <c r="L37" i="4" s="1"/>
  <c r="I32" i="4"/>
  <c r="I33" i="4"/>
  <c r="I31" i="4"/>
  <c r="I58" i="3"/>
  <c r="P31" i="4" s="1"/>
  <c r="M31" i="4"/>
  <c r="I60" i="3"/>
  <c r="P33" i="4" s="1"/>
  <c r="I59" i="3"/>
  <c r="P32" i="4" s="1"/>
  <c r="M32" i="4"/>
  <c r="I15" i="4"/>
  <c r="M15" i="4" s="1"/>
  <c r="I16" i="4"/>
  <c r="M16" i="4" s="1"/>
  <c r="I17" i="4"/>
  <c r="M17" i="4" s="1"/>
  <c r="I10" i="4"/>
  <c r="M10" i="4" s="1"/>
  <c r="I18" i="4"/>
  <c r="M18" i="4" s="1"/>
  <c r="I11" i="4"/>
  <c r="M11" i="4" s="1"/>
  <c r="I19" i="4"/>
  <c r="M19" i="4" s="1"/>
  <c r="I12" i="4"/>
  <c r="M12" i="4" s="1"/>
  <c r="I9" i="4"/>
  <c r="M9" i="4" s="1"/>
  <c r="I14" i="4"/>
  <c r="M14" i="4" s="1"/>
  <c r="I13" i="4"/>
  <c r="M13" i="4" s="1"/>
  <c r="B47" i="3"/>
  <c r="I47" i="3" s="1"/>
  <c r="B55" i="3"/>
  <c r="I55" i="3" s="1"/>
  <c r="B48" i="3"/>
  <c r="I48" i="3" s="1"/>
  <c r="B49" i="3"/>
  <c r="I49" i="3" s="1"/>
  <c r="B45" i="3"/>
  <c r="I45" i="3" s="1"/>
  <c r="B56" i="3"/>
  <c r="B50" i="3"/>
  <c r="I50" i="3" s="1"/>
  <c r="B53" i="3"/>
  <c r="I53" i="3" s="1"/>
  <c r="B46" i="3"/>
  <c r="I46" i="3" s="1"/>
  <c r="B54" i="3"/>
  <c r="I54" i="3" s="1"/>
  <c r="U3" i="2"/>
  <c r="B51" i="3"/>
  <c r="I51" i="3" s="1"/>
  <c r="B52" i="3"/>
  <c r="I52" i="3" s="1"/>
  <c r="C22" i="2"/>
  <c r="D22" i="2" s="1"/>
  <c r="B42" i="4" l="1"/>
  <c r="C40" i="4"/>
  <c r="D40" i="4"/>
  <c r="D42" i="4"/>
  <c r="E40" i="4"/>
  <c r="F48" i="3"/>
  <c r="H48" i="3"/>
  <c r="H52" i="3"/>
  <c r="F52" i="3"/>
  <c r="H46" i="3"/>
  <c r="F46" i="3"/>
  <c r="H47" i="3"/>
  <c r="F53" i="3"/>
  <c r="F55" i="3"/>
  <c r="H53" i="3"/>
  <c r="F47" i="3"/>
  <c r="F54" i="3"/>
  <c r="F50" i="3"/>
  <c r="H49" i="3"/>
  <c r="H54" i="3"/>
  <c r="F49" i="3"/>
  <c r="H45" i="3"/>
  <c r="F51" i="3"/>
  <c r="H51" i="3"/>
  <c r="H55" i="3"/>
  <c r="F45" i="3"/>
  <c r="H50" i="3"/>
  <c r="C23" i="2"/>
  <c r="D23" i="2" s="1"/>
  <c r="C24" i="2" l="1"/>
  <c r="D24" i="2" s="1"/>
  <c r="C25" i="2" l="1"/>
  <c r="D25" i="2" s="1"/>
  <c r="C26" i="2" l="1"/>
  <c r="D26" i="2" s="1"/>
  <c r="C27" i="2" l="1"/>
  <c r="D27" i="2" s="1"/>
  <c r="C28" i="2" l="1"/>
  <c r="D28" i="2" s="1"/>
  <c r="C29" i="2" l="1"/>
  <c r="D29" i="2" s="1"/>
  <c r="C7" i="3" l="1"/>
  <c r="C10" i="3" s="1"/>
  <c r="F7" i="3"/>
  <c r="C30" i="2"/>
  <c r="G63" i="3" l="1"/>
  <c r="C6" i="4"/>
  <c r="I7" i="3"/>
  <c r="K10" i="2" s="1"/>
  <c r="B7" i="3"/>
  <c r="K3" i="2" s="1"/>
  <c r="J7" i="3"/>
  <c r="K7" i="2"/>
  <c r="F10" i="3"/>
  <c r="H7" i="3"/>
  <c r="H10" i="3" s="1"/>
  <c r="G7" i="3"/>
  <c r="D7" i="3"/>
  <c r="D10" i="3" s="1"/>
  <c r="E7" i="3"/>
  <c r="K4" i="2"/>
  <c r="L4" i="2"/>
  <c r="K7" i="3"/>
  <c r="K10" i="3" s="1"/>
  <c r="K6" i="4" s="1"/>
  <c r="N63" i="3" l="1"/>
  <c r="M36" i="4"/>
  <c r="BZ60" i="1"/>
  <c r="I64" i="3" s="1"/>
  <c r="BZ61" i="1"/>
  <c r="BZ57" i="1"/>
  <c r="BZ58" i="1"/>
  <c r="BZ59" i="1"/>
  <c r="BZ53" i="1"/>
  <c r="BZ56" i="1"/>
  <c r="BZ51" i="1"/>
  <c r="BZ52" i="1"/>
  <c r="H64" i="3"/>
  <c r="N37" i="4" s="1"/>
  <c r="H60" i="3"/>
  <c r="O33" i="4" s="1"/>
  <c r="H58" i="3"/>
  <c r="O31" i="4" s="1"/>
  <c r="H59" i="3"/>
  <c r="O32" i="4" s="1"/>
  <c r="D6" i="4"/>
  <c r="L9" i="2"/>
  <c r="G18" i="3" s="1"/>
  <c r="J18" i="3" s="1"/>
  <c r="G9" i="4" s="1"/>
  <c r="H6" i="4"/>
  <c r="L7" i="2"/>
  <c r="G27" i="3" s="1"/>
  <c r="J27" i="3" s="1"/>
  <c r="G18" i="4" s="1"/>
  <c r="F6" i="4"/>
  <c r="I10" i="3"/>
  <c r="B10" i="3"/>
  <c r="J10" i="3"/>
  <c r="K11" i="2"/>
  <c r="K9" i="2"/>
  <c r="G10" i="3"/>
  <c r="K8" i="2"/>
  <c r="K5" i="2"/>
  <c r="E10" i="3"/>
  <c r="E6" i="4" s="1"/>
  <c r="K6" i="2"/>
  <c r="L5" i="2"/>
  <c r="G33" i="3" s="1"/>
  <c r="J33" i="3" s="1"/>
  <c r="G24" i="4" s="1"/>
  <c r="K12" i="2"/>
  <c r="L12" i="2"/>
  <c r="G32" i="3" l="1"/>
  <c r="J32" i="3" s="1"/>
  <c r="G23" i="4" s="1"/>
  <c r="G30" i="3"/>
  <c r="J30" i="3" s="1"/>
  <c r="G21" i="4" s="1"/>
  <c r="G19" i="3"/>
  <c r="J19" i="3" s="1"/>
  <c r="G10" i="4" s="1"/>
  <c r="G25" i="3"/>
  <c r="J25" i="3" s="1"/>
  <c r="G16" i="4" s="1"/>
  <c r="L11" i="2"/>
  <c r="G20" i="3" s="1"/>
  <c r="J20" i="3" s="1"/>
  <c r="G11" i="4" s="1"/>
  <c r="J6" i="4"/>
  <c r="L8" i="2"/>
  <c r="G34" i="3" s="1"/>
  <c r="J34" i="3" s="1"/>
  <c r="G25" i="4" s="1"/>
  <c r="G6" i="4"/>
  <c r="L10" i="2"/>
  <c r="I6" i="4"/>
  <c r="L3" i="2"/>
  <c r="B6" i="4"/>
  <c r="L6" i="2"/>
  <c r="G50" i="3" s="1"/>
  <c r="J50" i="3" s="1"/>
  <c r="E14" i="3"/>
  <c r="E13" i="3"/>
  <c r="G13" i="3"/>
  <c r="G15" i="3" s="1"/>
  <c r="O6" i="4" s="1"/>
  <c r="G31" i="3"/>
  <c r="J31" i="3" s="1"/>
  <c r="G22" i="4" s="1"/>
  <c r="G28" i="3"/>
  <c r="J28" i="3" s="1"/>
  <c r="G19" i="4" s="1"/>
  <c r="G36" i="3"/>
  <c r="J36" i="3" s="1"/>
  <c r="G27" i="4" s="1"/>
  <c r="G22" i="3"/>
  <c r="J22" i="3" s="1"/>
  <c r="G13" i="4" s="1"/>
  <c r="G23" i="3"/>
  <c r="J23" i="3" s="1"/>
  <c r="G14" i="4" s="1"/>
  <c r="G24" i="3"/>
  <c r="J24" i="3" s="1"/>
  <c r="G15" i="4" s="1"/>
  <c r="G26" i="3"/>
  <c r="J26" i="3" s="1"/>
  <c r="G17" i="4" s="1"/>
  <c r="N14" i="4" l="1"/>
  <c r="G64" i="3"/>
  <c r="G40" i="3"/>
  <c r="J40" i="3" s="1"/>
  <c r="G31" i="4" s="1"/>
  <c r="G37" i="3"/>
  <c r="G55" i="3"/>
  <c r="J55" i="3" s="1"/>
  <c r="N19" i="4" s="1"/>
  <c r="G46" i="3"/>
  <c r="J46" i="3" s="1"/>
  <c r="N10" i="4" s="1"/>
  <c r="G54" i="3"/>
  <c r="G29" i="3"/>
  <c r="J29" i="3" s="1"/>
  <c r="G20" i="4" s="1"/>
  <c r="G38" i="3"/>
  <c r="J38" i="3" s="1"/>
  <c r="G29" i="4" s="1"/>
  <c r="G53" i="3"/>
  <c r="J53" i="3" s="1"/>
  <c r="N17" i="4" s="1"/>
  <c r="G21" i="3"/>
  <c r="J21" i="3" s="1"/>
  <c r="G12" i="4" s="1"/>
  <c r="G51" i="3"/>
  <c r="J51" i="3" s="1"/>
  <c r="N15" i="4" s="1"/>
  <c r="G49" i="3"/>
  <c r="J49" i="3" s="1"/>
  <c r="N13" i="4" s="1"/>
  <c r="G42" i="3"/>
  <c r="J42" i="3" s="1"/>
  <c r="G33" i="4" s="1"/>
  <c r="G48" i="3"/>
  <c r="J48" i="3" s="1"/>
  <c r="N12" i="4" s="1"/>
  <c r="G35" i="3"/>
  <c r="J35" i="3" s="1"/>
  <c r="G26" i="4" s="1"/>
  <c r="G47" i="3"/>
  <c r="J47" i="3" s="1"/>
  <c r="N11" i="4" s="1"/>
  <c r="G39" i="3"/>
  <c r="J39" i="3" s="1"/>
  <c r="G30" i="4" s="1"/>
  <c r="G45" i="3"/>
  <c r="J45" i="3" s="1"/>
  <c r="N9" i="4" s="1"/>
  <c r="G41" i="3"/>
  <c r="J41" i="3" s="1"/>
  <c r="G32" i="4" s="1"/>
  <c r="G52" i="3"/>
  <c r="J52" i="3" s="1"/>
  <c r="N16" i="4" s="1"/>
  <c r="E15" i="3"/>
  <c r="N6" i="4" s="1"/>
  <c r="N64" i="3" l="1"/>
  <c r="M37" i="4"/>
  <c r="J54" i="3"/>
  <c r="J37" i="3"/>
  <c r="G60" i="3" s="1"/>
  <c r="N60" i="3" s="1"/>
  <c r="G58" i="3" l="1"/>
  <c r="N58" i="3" s="1"/>
  <c r="G59" i="3"/>
  <c r="N33" i="4"/>
  <c r="G28" i="4"/>
  <c r="N18" i="4"/>
  <c r="N31" i="4" l="1"/>
  <c r="N32" i="4"/>
  <c r="N5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<sst xmlns="http://schemas.openxmlformats.org/spreadsheetml/2006/main" count="3075" uniqueCount="883">
  <si>
    <t>Humain</t>
  </si>
  <si>
    <t>Nain</t>
  </si>
  <si>
    <t>Halfling</t>
  </si>
  <si>
    <t>CC</t>
  </si>
  <si>
    <t>CT</t>
  </si>
  <si>
    <t>End</t>
  </si>
  <si>
    <t>For</t>
  </si>
  <si>
    <t>Agi</t>
  </si>
  <si>
    <t>Ini</t>
  </si>
  <si>
    <t>Dex</t>
  </si>
  <si>
    <t>Int</t>
  </si>
  <si>
    <t>FM</t>
  </si>
  <si>
    <t>Soc</t>
  </si>
  <si>
    <t>Race</t>
  </si>
  <si>
    <t>Base</t>
  </si>
  <si>
    <t>Jet</t>
  </si>
  <si>
    <t>Profil</t>
  </si>
  <si>
    <t>PD</t>
  </si>
  <si>
    <t>Resilience</t>
  </si>
  <si>
    <t>Mvt</t>
  </si>
  <si>
    <t>Poitnt Sup</t>
  </si>
  <si>
    <t>Point Sup</t>
  </si>
  <si>
    <t>Resi</t>
  </si>
  <si>
    <t>Apothicaire</t>
  </si>
  <si>
    <t>Ingénieur</t>
  </si>
  <si>
    <t xml:space="preserve">Nonne </t>
  </si>
  <si>
    <t xml:space="preserve">Médecin </t>
  </si>
  <si>
    <t xml:space="preserve">Prêtre </t>
  </si>
  <si>
    <t xml:space="preserve">Érudit </t>
  </si>
  <si>
    <t>Agitateur</t>
  </si>
  <si>
    <t xml:space="preserve">Artisan </t>
  </si>
  <si>
    <t xml:space="preserve">Mendiant </t>
  </si>
  <si>
    <t xml:space="preserve">Enquêteur </t>
  </si>
  <si>
    <t>Ratier</t>
  </si>
  <si>
    <t xml:space="preserve">Artiste </t>
  </si>
  <si>
    <t xml:space="preserve">Duelliste </t>
  </si>
  <si>
    <t xml:space="preserve">Emissaire </t>
  </si>
  <si>
    <t xml:space="preserve">Noble </t>
  </si>
  <si>
    <t xml:space="preserve">Serviteur </t>
  </si>
  <si>
    <t xml:space="preserve">Espion </t>
  </si>
  <si>
    <t>Intendant</t>
  </si>
  <si>
    <t xml:space="preserve">Sorcier de Village </t>
  </si>
  <si>
    <t xml:space="preserve">Herboriste </t>
  </si>
  <si>
    <t xml:space="preserve">Chasseur </t>
  </si>
  <si>
    <t xml:space="preserve">Mineur </t>
  </si>
  <si>
    <t xml:space="preserve">Mystique </t>
  </si>
  <si>
    <t xml:space="preserve">Éclaireur </t>
  </si>
  <si>
    <t>Villageois</t>
  </si>
  <si>
    <t>Chasseur de Primes</t>
  </si>
  <si>
    <t xml:space="preserve">Cocher </t>
  </si>
  <si>
    <t xml:space="preserve">Flagellant </t>
  </si>
  <si>
    <t xml:space="preserve">Messager </t>
  </si>
  <si>
    <t xml:space="preserve">Colporteur </t>
  </si>
  <si>
    <t>Patrouilleur</t>
  </si>
  <si>
    <t>Batelier</t>
  </si>
  <si>
    <t xml:space="preserve">Patrouilleur Fluviale </t>
  </si>
  <si>
    <t xml:space="preserve">Contrebandier </t>
  </si>
  <si>
    <t>Débardeur</t>
  </si>
  <si>
    <t>Naufrageur</t>
  </si>
  <si>
    <t xml:space="preserve">Charlatan </t>
  </si>
  <si>
    <t xml:space="preserve">Receleur </t>
  </si>
  <si>
    <t xml:space="preserve">Pilleur de Tombes </t>
  </si>
  <si>
    <t xml:space="preserve">Hors-la-Loi </t>
  </si>
  <si>
    <t xml:space="preserve">Voleur </t>
  </si>
  <si>
    <t xml:space="preserve">Cavalier </t>
  </si>
  <si>
    <t xml:space="preserve">Garde </t>
  </si>
  <si>
    <t xml:space="preserve">Chevalier </t>
  </si>
  <si>
    <t>Gladiateur</t>
  </si>
  <si>
    <t>Tueur</t>
  </si>
  <si>
    <t xml:space="preserve">Soldat </t>
  </si>
  <si>
    <t>Prêtre Guerrier</t>
  </si>
  <si>
    <t>Art</t>
  </si>
  <si>
    <t>Escalade</t>
  </si>
  <si>
    <t xml:space="preserve">Interprétation </t>
  </si>
  <si>
    <t>Intuition</t>
  </si>
  <si>
    <t>Perception</t>
  </si>
  <si>
    <t>Competence de base</t>
  </si>
  <si>
    <t>Competence avancée</t>
  </si>
  <si>
    <t>01–03</t>
  </si>
  <si>
    <t>04–06</t>
  </si>
  <si>
    <t>07–09</t>
  </si>
  <si>
    <t>10–12</t>
  </si>
  <si>
    <t>13–15</t>
  </si>
  <si>
    <t>16–18</t>
  </si>
  <si>
    <t>19–21</t>
  </si>
  <si>
    <t>22–24</t>
  </si>
  <si>
    <t>25–28</t>
  </si>
  <si>
    <t>29–31</t>
  </si>
  <si>
    <t>32–34</t>
  </si>
  <si>
    <t>35–38</t>
  </si>
  <si>
    <t>39–41</t>
  </si>
  <si>
    <t>42–44</t>
  </si>
  <si>
    <t>45–47</t>
  </si>
  <si>
    <t>48–50</t>
  </si>
  <si>
    <t>51–52</t>
  </si>
  <si>
    <t>Sang Noble</t>
  </si>
  <si>
    <t>Emprise Animaux</t>
  </si>
  <si>
    <t>Vision Nocturne</t>
  </si>
  <si>
    <t>53–55</t>
  </si>
  <si>
    <t>Orientation</t>
  </si>
  <si>
    <t>56–58</t>
  </si>
  <si>
    <t>Ton Parfait</t>
  </si>
  <si>
    <t>59–62</t>
  </si>
  <si>
    <t>Ame Pure</t>
  </si>
  <si>
    <t>63–65</t>
  </si>
  <si>
    <t>Lire/Ecrire</t>
  </si>
  <si>
    <t>66–68</t>
  </si>
  <si>
    <t>69–71</t>
  </si>
  <si>
    <t>Intelligent</t>
  </si>
  <si>
    <t>72–74</t>
  </si>
  <si>
    <t>75–78</t>
  </si>
  <si>
    <t>79–81</t>
  </si>
  <si>
    <t>Jambes Puissante</t>
  </si>
  <si>
    <t>82–84</t>
  </si>
  <si>
    <t>Costaud</t>
  </si>
  <si>
    <t>85–87</t>
  </si>
  <si>
    <t>Charmant</t>
  </si>
  <si>
    <t>88–91</t>
  </si>
  <si>
    <t>92–94</t>
  </si>
  <si>
    <t>Très Résistant</t>
  </si>
  <si>
    <t>95–97</t>
  </si>
  <si>
    <t>Très Fort</t>
  </si>
  <si>
    <t>98–00</t>
  </si>
  <si>
    <t>Guerrier né</t>
  </si>
  <si>
    <t>Talent aléatoire humain</t>
  </si>
  <si>
    <t>Commandement</t>
  </si>
  <si>
    <t>Marchandage</t>
  </si>
  <si>
    <t>Calme</t>
  </si>
  <si>
    <t>Langue (Eltharin)</t>
  </si>
  <si>
    <t>Carac</t>
  </si>
  <si>
    <t>Athlétisme</t>
  </si>
  <si>
    <t>Canotage</t>
  </si>
  <si>
    <t>Charme</t>
  </si>
  <si>
    <t>Commérages</t>
  </si>
  <si>
    <t>Conduite</t>
  </si>
  <si>
    <t>Corruption</t>
  </si>
  <si>
    <t>Discrétion</t>
  </si>
  <si>
    <t>Équitation</t>
  </si>
  <si>
    <t>Esquive</t>
  </si>
  <si>
    <t>Intimidation</t>
  </si>
  <si>
    <t>Jeu</t>
  </si>
  <si>
    <t>Mêlée</t>
  </si>
  <si>
    <t>Navigation</t>
  </si>
  <si>
    <t>Résistance</t>
  </si>
  <si>
    <t>Emprise sur les Animaux</t>
  </si>
  <si>
    <t>Résistance à l'alcool</t>
  </si>
  <si>
    <t>Survie en extérieur</t>
  </si>
  <si>
    <t>Escamotage</t>
  </si>
  <si>
    <t>Natation</t>
  </si>
  <si>
    <t>Pistage</t>
  </si>
  <si>
    <t>Recherche</t>
  </si>
  <si>
    <t>Competence Avancée</t>
  </si>
  <si>
    <t>Intelligent ou Charmant</t>
  </si>
  <si>
    <t>Résistance magique</t>
  </si>
  <si>
    <t>Écriture ou Acharné</t>
  </si>
  <si>
    <t>Sens aiguiser (goût)</t>
  </si>
  <si>
    <t>Sens Aiguisé ( Vue )</t>
  </si>
  <si>
    <t>Répurgateur</t>
  </si>
  <si>
    <t>Carriere</t>
  </si>
  <si>
    <t>Talent aléa</t>
  </si>
  <si>
    <t>Talent</t>
  </si>
  <si>
    <t>Ordre</t>
  </si>
  <si>
    <t>Haut elfe</t>
  </si>
  <si>
    <t>Elfe des bois</t>
  </si>
  <si>
    <t>Conseiller</t>
  </si>
  <si>
    <t>Ambidextre</t>
  </si>
  <si>
    <t>Artistes</t>
  </si>
  <si>
    <t>Attrayant</t>
  </si>
  <si>
    <t>Fuyez !</t>
  </si>
  <si>
    <t>Robuste</t>
  </si>
  <si>
    <t>Linguistiques</t>
  </si>
  <si>
    <t>Chance</t>
  </si>
  <si>
    <t>Imitation</t>
  </si>
  <si>
    <t/>
  </si>
  <si>
    <t>Langue (Bretonnien)</t>
  </si>
  <si>
    <t>Connaissance (Reikland)</t>
  </si>
  <si>
    <t>A Distance (Arc)</t>
  </si>
  <si>
    <t>Vision nocturne</t>
  </si>
  <si>
    <t>Résolu ou Fort d'esprit</t>
  </si>
  <si>
    <t>Lecture/Ecriture</t>
  </si>
  <si>
    <t>Petit</t>
  </si>
  <si>
    <t>Résistance (chaos)</t>
  </si>
  <si>
    <t>Calme D'esprit ou Intelligent</t>
  </si>
  <si>
    <t>Seconde Vue ou Sixième Sens</t>
  </si>
  <si>
    <t>Mêlée (base)</t>
  </si>
  <si>
    <t>Classe</t>
  </si>
  <si>
    <t>Divertissement (Chanter)</t>
  </si>
  <si>
    <t>Divertissement</t>
  </si>
  <si>
    <t>Final</t>
  </si>
  <si>
    <t>Connaissance (Métallurgie)</t>
  </si>
  <si>
    <t>Langue (Khazalid)</t>
  </si>
  <si>
    <t>Langue (Mootish)</t>
  </si>
  <si>
    <t>Connaissance (Nains)</t>
  </si>
  <si>
    <t>Tireur de précision</t>
  </si>
  <si>
    <t>Doué en calcul</t>
  </si>
  <si>
    <t>Rang</t>
  </si>
  <si>
    <t>TALENT 1</t>
  </si>
  <si>
    <t>TALENT 2</t>
  </si>
  <si>
    <t>TALENT 3</t>
  </si>
  <si>
    <t>TALENT 4</t>
  </si>
  <si>
    <t>Competence 1</t>
  </si>
  <si>
    <t>Competence 2</t>
  </si>
  <si>
    <t>Competence 3</t>
  </si>
  <si>
    <t>Competence 4</t>
  </si>
  <si>
    <t>Competence 5</t>
  </si>
  <si>
    <t>Competence 6</t>
  </si>
  <si>
    <t>Competence 7</t>
  </si>
  <si>
    <t>Competence 8</t>
  </si>
  <si>
    <t>Gear</t>
  </si>
  <si>
    <t>Engineer</t>
  </si>
  <si>
    <t>Artist</t>
  </si>
  <si>
    <t>Endurance</t>
  </si>
  <si>
    <t xml:space="preserve">Lawyer </t>
  </si>
  <si>
    <t>Nun</t>
  </si>
  <si>
    <t>Physician</t>
  </si>
  <si>
    <t>Priest</t>
  </si>
  <si>
    <t xml:space="preserve">Scholar </t>
  </si>
  <si>
    <t xml:space="preserve">Wizard </t>
  </si>
  <si>
    <t>Agitator</t>
  </si>
  <si>
    <t>Beggar</t>
  </si>
  <si>
    <t xml:space="preserve">Investigator </t>
  </si>
  <si>
    <t xml:space="preserve">Merchant </t>
  </si>
  <si>
    <t>Rat Catcher</t>
  </si>
  <si>
    <t>Townsman</t>
  </si>
  <si>
    <t>Watchman</t>
  </si>
  <si>
    <t>Advisor</t>
  </si>
  <si>
    <t xml:space="preserve">Duellist </t>
  </si>
  <si>
    <t>Envoy</t>
  </si>
  <si>
    <t>Servant</t>
  </si>
  <si>
    <t xml:space="preserve">Spy </t>
  </si>
  <si>
    <t>Warden</t>
  </si>
  <si>
    <t xml:space="preserve">Bailiff </t>
  </si>
  <si>
    <t xml:space="preserve">Hedge Witch </t>
  </si>
  <si>
    <t xml:space="preserve">Herbalist </t>
  </si>
  <si>
    <t xml:space="preserve">Hunter </t>
  </si>
  <si>
    <t xml:space="preserve">Miner </t>
  </si>
  <si>
    <t xml:space="preserve">Mystic </t>
  </si>
  <si>
    <t xml:space="preserve">Scout </t>
  </si>
  <si>
    <t>Villager</t>
  </si>
  <si>
    <t>Bounty Hunter</t>
  </si>
  <si>
    <t>Coachman</t>
  </si>
  <si>
    <t>Entertainer</t>
  </si>
  <si>
    <t xml:space="preserve">Messenger </t>
  </si>
  <si>
    <t>Sprinter</t>
  </si>
  <si>
    <t xml:space="preserve">Pedlar </t>
  </si>
  <si>
    <t xml:space="preserve">Road Warden </t>
  </si>
  <si>
    <t xml:space="preserve">Witch Hunter </t>
  </si>
  <si>
    <t xml:space="preserve"> </t>
  </si>
  <si>
    <t>Boatman</t>
  </si>
  <si>
    <t xml:space="preserve">Huffer </t>
  </si>
  <si>
    <t>Riverwarden</t>
  </si>
  <si>
    <t>Riverwoman</t>
  </si>
  <si>
    <t>Seaman</t>
  </si>
  <si>
    <t>Smuggler</t>
  </si>
  <si>
    <t>Stevedore</t>
  </si>
  <si>
    <t>Wrecker</t>
  </si>
  <si>
    <t xml:space="preserve">Bawd </t>
  </si>
  <si>
    <t>Fence</t>
  </si>
  <si>
    <t>Grave Robber</t>
  </si>
  <si>
    <t xml:space="preserve">Outlaw </t>
  </si>
  <si>
    <t xml:space="preserve">Racketeer </t>
  </si>
  <si>
    <t>Thief</t>
  </si>
  <si>
    <t>Witch</t>
  </si>
  <si>
    <t>Cavalryman</t>
  </si>
  <si>
    <t>Guard</t>
  </si>
  <si>
    <t>Knight</t>
  </si>
  <si>
    <t>Pit Fighter</t>
  </si>
  <si>
    <t>Protagonist</t>
  </si>
  <si>
    <t>Soldier</t>
  </si>
  <si>
    <t>Warrior Priest</t>
  </si>
  <si>
    <t>Citadins</t>
  </si>
  <si>
    <t>Coutisans</t>
  </si>
  <si>
    <t>Guerriers</t>
  </si>
  <si>
    <t>Itinérants</t>
  </si>
  <si>
    <t>Lettrés</t>
  </si>
  <si>
    <t>Riverains</t>
  </si>
  <si>
    <t>Marin</t>
  </si>
  <si>
    <t>Roublard</t>
  </si>
  <si>
    <t>Ruraux</t>
  </si>
  <si>
    <t>Milicien</t>
  </si>
  <si>
    <t>Bourgeois</t>
  </si>
  <si>
    <t xml:space="preserve">Juriste </t>
  </si>
  <si>
    <t xml:space="preserve">Spadassin </t>
  </si>
  <si>
    <t>Saltimbanque</t>
  </si>
  <si>
    <t xml:space="preserve">Nautonier </t>
  </si>
  <si>
    <t xml:space="preserve">Femme du fleuve </t>
  </si>
  <si>
    <t xml:space="preserve">Bailli </t>
  </si>
  <si>
    <t xml:space="preserve">Rançonneur </t>
  </si>
  <si>
    <t xml:space="preserve">Entremetteur </t>
  </si>
  <si>
    <t xml:space="preserve">Marchand </t>
  </si>
  <si>
    <t>Sorcier</t>
  </si>
  <si>
    <t>Sorcière sauvage</t>
  </si>
  <si>
    <t>Chanceux</t>
  </si>
  <si>
    <t>Competence Race</t>
  </si>
  <si>
    <t>Colonne1</t>
  </si>
  <si>
    <t>Colonne2</t>
  </si>
  <si>
    <t>Evaluation</t>
  </si>
  <si>
    <t>Talent race</t>
  </si>
  <si>
    <t>Competence carrière</t>
  </si>
  <si>
    <t>Talent carrière</t>
  </si>
  <si>
    <t>Langue (Principauté Frontalière)</t>
  </si>
  <si>
    <t>Sociable</t>
  </si>
  <si>
    <t>Faire la manche</t>
  </si>
  <si>
    <t>Baratiner</t>
  </si>
  <si>
    <t>Savoir (Trolls)</t>
  </si>
  <si>
    <t>Savoir (Torture)</t>
  </si>
  <si>
    <t>Savoir (Medicine)</t>
  </si>
  <si>
    <t>Savoir (Science)</t>
  </si>
  <si>
    <t>Savoir (Magic)</t>
  </si>
  <si>
    <t>Savoir (Local)</t>
  </si>
  <si>
    <t>Savoir (Folklore)</t>
  </si>
  <si>
    <t>Métier (Farrier)</t>
  </si>
  <si>
    <t>Métier (Charmes)</t>
  </si>
  <si>
    <t>Discrétion (Rural)</t>
  </si>
  <si>
    <t>Discrétion (urbain)</t>
  </si>
  <si>
    <t>Artiste</t>
  </si>
  <si>
    <t>Maitre artisan (au choix)</t>
  </si>
  <si>
    <t>Métier (au choix)</t>
  </si>
  <si>
    <t>Art (au choix)</t>
  </si>
  <si>
    <t>Discrétion (au choix)</t>
  </si>
  <si>
    <t>Play (au choix)</t>
  </si>
  <si>
    <t>Savoir (au choix)</t>
  </si>
  <si>
    <t>Mêlée (au choix)</t>
  </si>
  <si>
    <t>Mêlée (Fencing)</t>
  </si>
  <si>
    <t>Mêlée (Cavalry)</t>
  </si>
  <si>
    <t>Mêlée (Polearm)</t>
  </si>
  <si>
    <t>Mêlée (Two-handed)</t>
  </si>
  <si>
    <t>Ambidextrie</t>
  </si>
  <si>
    <t>Réflexes foudroyants</t>
  </si>
  <si>
    <t>Criminel</t>
  </si>
  <si>
    <t>Chat de gouttière</t>
  </si>
  <si>
    <t>Menaçant</t>
  </si>
  <si>
    <t>Langue (Classical)</t>
  </si>
  <si>
    <t>Langue (Magick)</t>
  </si>
  <si>
    <t>Emprise sur les animaux</t>
  </si>
  <si>
    <t>Savoir (Loi)</t>
  </si>
  <si>
    <t>Savoir (Plantes)</t>
  </si>
  <si>
    <t>A distance (Arc)</t>
  </si>
  <si>
    <t>A distance (Arbalète)</t>
  </si>
  <si>
    <t>A distance (Fronde)</t>
  </si>
  <si>
    <t>A distance (Arme à feu)</t>
  </si>
  <si>
    <t>Piégeage</t>
  </si>
  <si>
    <t>Prière</t>
  </si>
  <si>
    <t>Dressage (Chien)</t>
  </si>
  <si>
    <t>Focalisation</t>
  </si>
  <si>
    <t>Guérison</t>
  </si>
  <si>
    <t>Métier (cuisine)</t>
  </si>
  <si>
    <t>Connaissance (Géologie)</t>
  </si>
  <si>
    <t>Nomade</t>
  </si>
  <si>
    <t>Mains agiles</t>
  </si>
  <si>
    <t>Magie mineure (au choix)</t>
  </si>
  <si>
    <t>Magie mineure</t>
  </si>
  <si>
    <t>Bon marcheur (au choix)</t>
  </si>
  <si>
    <t>Seconde vue</t>
  </si>
  <si>
    <t>Divertissement (au choix)</t>
  </si>
  <si>
    <t>Divertissement (Storyteller)</t>
  </si>
  <si>
    <t>Divertissement (Taunt)</t>
  </si>
  <si>
    <t>Persévérant</t>
  </si>
  <si>
    <t>Vivacité</t>
  </si>
  <si>
    <t>Trappeur</t>
  </si>
  <si>
    <t>Dur à cuire</t>
  </si>
  <si>
    <t>Numismate</t>
  </si>
  <si>
    <t>Escroquer</t>
  </si>
  <si>
    <t>Infatigable</t>
  </si>
  <si>
    <t>Diction instinctive</t>
  </si>
  <si>
    <t>Négociateur</t>
  </si>
  <si>
    <t>Tricheur</t>
  </si>
  <si>
    <t>Fuite!</t>
  </si>
  <si>
    <t>Maîtrise des dés</t>
  </si>
  <si>
    <t>Nageur endurant</t>
  </si>
  <si>
    <t>Très fort</t>
  </si>
  <si>
    <t>Insignifiant</t>
  </si>
  <si>
    <t>Très résistant</t>
  </si>
  <si>
    <t>Brouet</t>
  </si>
  <si>
    <t>Resistance (Maladies)</t>
  </si>
  <si>
    <t>Coup puissant</t>
  </si>
  <si>
    <t>Frappe assomante</t>
  </si>
  <si>
    <t>Feinte</t>
  </si>
  <si>
    <t>Pas de côté</t>
  </si>
  <si>
    <t>Distraire</t>
  </si>
  <si>
    <t>Battement</t>
  </si>
  <si>
    <t>Noctambule</t>
  </si>
  <si>
    <t>Discret</t>
  </si>
  <si>
    <t>Noblesse</t>
  </si>
  <si>
    <t>Déterminé</t>
  </si>
  <si>
    <t>Réflexes foudroyant</t>
  </si>
  <si>
    <t>Claquer le fouet</t>
  </si>
  <si>
    <t>Cavalier émérite</t>
  </si>
  <si>
    <t>Vigilance</t>
  </si>
  <si>
    <t>Mâchoires d'acier</t>
  </si>
  <si>
    <t>Renversement</t>
  </si>
  <si>
    <t>Combat déloyal</t>
  </si>
  <si>
    <t>Combattant au contact</t>
  </si>
  <si>
    <t>Béni (au choix)</t>
  </si>
  <si>
    <t>Frénésie</t>
  </si>
  <si>
    <t>Obstiné</t>
  </si>
  <si>
    <t>Affinité avec les animaux</t>
  </si>
  <si>
    <t>Voyageur aguerri</t>
  </si>
  <si>
    <t>Acrobaties équestres</t>
  </si>
  <si>
    <t>Richesse</t>
  </si>
  <si>
    <t>Mêlée (Fléau)</t>
  </si>
  <si>
    <t>PROFIL</t>
  </si>
  <si>
    <t>Dotation</t>
  </si>
  <si>
    <t>Bronze</t>
  </si>
  <si>
    <t>Argent</t>
  </si>
  <si>
    <t>Or</t>
  </si>
  <si>
    <t>RANG</t>
  </si>
  <si>
    <t xml:space="preserve"> PC</t>
  </si>
  <si>
    <t xml:space="preserve"> PA</t>
  </si>
  <si>
    <t xml:space="preserve"> PO</t>
  </si>
  <si>
    <t>Evolution</t>
  </si>
  <si>
    <t>Aléatoire</t>
  </si>
  <si>
    <t>PC</t>
  </si>
  <si>
    <t>Doigts de fée</t>
  </si>
  <si>
    <t>influence</t>
  </si>
  <si>
    <t>Pêcheur</t>
  </si>
  <si>
    <t>Marinier</t>
  </si>
  <si>
    <t>Studieux</t>
  </si>
  <si>
    <t>Pansement de fortune</t>
  </si>
  <si>
    <t>Subordination</t>
  </si>
  <si>
    <t>Conduite d'attelae</t>
  </si>
  <si>
    <t>Bandages, décoction de guérison</t>
  </si>
  <si>
    <t>Imperturbable</t>
  </si>
  <si>
    <t>Véloce</t>
  </si>
  <si>
    <t>Courtisans</t>
  </si>
  <si>
    <t>Ramer</t>
  </si>
  <si>
    <t>Effraction</t>
  </si>
  <si>
    <t>Enc</t>
  </si>
  <si>
    <t>Taille</t>
  </si>
  <si>
    <t>Age</t>
  </si>
  <si>
    <t>Vert</t>
  </si>
  <si>
    <t>Bleu pâle</t>
  </si>
  <si>
    <t>Bleu</t>
  </si>
  <si>
    <t>Gris Pâle</t>
  </si>
  <si>
    <t xml:space="preserve">Gris </t>
  </si>
  <si>
    <t>Marron</t>
  </si>
  <si>
    <t>Noisette</t>
  </si>
  <si>
    <t>Brun foncé</t>
  </si>
  <si>
    <t>Noir</t>
  </si>
  <si>
    <t>Gypse</t>
  </si>
  <si>
    <t>Plomb</t>
  </si>
  <si>
    <t>Acier</t>
  </si>
  <si>
    <t>Brun terre</t>
  </si>
  <si>
    <t>Cuivre</t>
  </si>
  <si>
    <t>Doré</t>
  </si>
  <si>
    <t>Halfing</t>
  </si>
  <si>
    <t>Ivoire</t>
  </si>
  <si>
    <t>Vert lierre</t>
  </si>
  <si>
    <t>Vert Mousse</t>
  </si>
  <si>
    <t>Châtaigne</t>
  </si>
  <si>
    <t>Violet</t>
  </si>
  <si>
    <t>Couleur yeux</t>
  </si>
  <si>
    <t>Blond blanc</t>
  </si>
  <si>
    <t>Blond doré</t>
  </si>
  <si>
    <t>Brun doré</t>
  </si>
  <si>
    <t>Marron clair</t>
  </si>
  <si>
    <t>Auburn</t>
  </si>
  <si>
    <t>Roux</t>
  </si>
  <si>
    <t>Gris</t>
  </si>
  <si>
    <t>Blanc</t>
  </si>
  <si>
    <t>Blond clair</t>
  </si>
  <si>
    <t>Cuivré</t>
  </si>
  <si>
    <t>Brun</t>
  </si>
  <si>
    <t>Brun roux</t>
  </si>
  <si>
    <t>Miel</t>
  </si>
  <si>
    <t>Moutarde</t>
  </si>
  <si>
    <t>Amande</t>
  </si>
  <si>
    <t>Chocolat</t>
  </si>
  <si>
    <t>Réglisse</t>
  </si>
  <si>
    <t>Argenté</t>
  </si>
  <si>
    <t>Blond cuivré</t>
  </si>
  <si>
    <t>Haut Elfe</t>
  </si>
  <si>
    <t>Elfe Sylvain</t>
  </si>
  <si>
    <t>Anthracite</t>
  </si>
  <si>
    <t>Ocre</t>
  </si>
  <si>
    <t>Châtin clair</t>
  </si>
  <si>
    <t>Jais</t>
  </si>
  <si>
    <t>Améthyste</t>
  </si>
  <si>
    <t>Aigue-marine</t>
  </si>
  <si>
    <t>Saphir</t>
  </si>
  <si>
    <t>Turquoise</t>
  </si>
  <si>
    <t>Emeraude</t>
  </si>
  <si>
    <t>Ambre</t>
  </si>
  <si>
    <t>Citrine</t>
  </si>
  <si>
    <t>Marron foncé</t>
  </si>
  <si>
    <t>Blond vénitien</t>
  </si>
  <si>
    <t>Paille</t>
  </si>
  <si>
    <t>Blond pâle</t>
  </si>
  <si>
    <t>Blond</t>
  </si>
  <si>
    <t>Blond intense</t>
  </si>
  <si>
    <t>Blond ambré</t>
  </si>
  <si>
    <t>Bouleau argenté</t>
  </si>
  <si>
    <t>Blond cendré</t>
  </si>
  <si>
    <t>Or rose</t>
  </si>
  <si>
    <t>Blond miel</t>
  </si>
  <si>
    <t>Brun acajou</t>
  </si>
  <si>
    <t>Sienne</t>
  </si>
  <si>
    <t>Ebène</t>
  </si>
  <si>
    <t>Noir Bleuté</t>
  </si>
  <si>
    <t>Yeux</t>
  </si>
  <si>
    <t>Cheveux</t>
  </si>
  <si>
    <t>Profil Personnalisé</t>
  </si>
  <si>
    <t>Personnalisé</t>
  </si>
  <si>
    <t>Profil perso</t>
  </si>
  <si>
    <t>Choix</t>
  </si>
  <si>
    <t>Destinée</t>
  </si>
  <si>
    <t>Guérison des animaux</t>
  </si>
  <si>
    <t>Savoir (Bêtes)</t>
  </si>
  <si>
    <t>Savoir (Chimie)</t>
  </si>
  <si>
    <t>Compétence</t>
  </si>
  <si>
    <t>Equipement carrière</t>
  </si>
  <si>
    <t xml:space="preserve"> Vêtements, Dague, Bourse, Sac à bandoulière contenantune trousse d'écriture et 1d10 feuilles de Parchemin.</t>
  </si>
  <si>
    <t xml:space="preserve"> Cape, vêtement, Dague, chapeau, Bourse, Sac en bandoulière contenant le déjeuner</t>
  </si>
  <si>
    <t xml:space="preserve"> Vêtements fins, Dague, Bourse contenant une pince à épiler, un cure-oreille et un peigne</t>
  </si>
  <si>
    <t xml:space="preserve"> Cape, Vêtements,Dague, Bourse, Sac à bandoulière contenant des rations (1 jour)</t>
  </si>
  <si>
    <t xml:space="preserve"> Cape, Vêtements, Dague, Bourse, Sac à dos contenant Boîte à amadou, Couverture, Rations (1 jour)</t>
  </si>
  <si>
    <t>Cape, Vêtements, Dague, Bourse, Sac à bandoulière contenants un flacon d'eau-de-vie</t>
  </si>
  <si>
    <t xml:space="preserve"> Vêtements, Dague, Bourse, Sac à bandoulière contenant 2 bougies, 1d10 allumettes, un bonnet ou un masque.</t>
  </si>
  <si>
    <t>Equipement classe</t>
  </si>
  <si>
    <t>Vêtements, Arme de poing, Dague, Bourse</t>
  </si>
  <si>
    <t>1 CO</t>
  </si>
  <si>
    <t>commun</t>
  </si>
  <si>
    <t>moyen</t>
  </si>
  <si>
    <t>BF+4</t>
  </si>
  <si>
    <t>Categorie</t>
  </si>
  <si>
    <t>Amre</t>
  </si>
  <si>
    <t>Prix</t>
  </si>
  <si>
    <t>Dispo</t>
  </si>
  <si>
    <t>longueur</t>
  </si>
  <si>
    <t>Dommage</t>
  </si>
  <si>
    <t>Dague</t>
  </si>
  <si>
    <t>Couteau</t>
  </si>
  <si>
    <t>Bouclier (Targe)</t>
  </si>
  <si>
    <t>Bouclier</t>
  </si>
  <si>
    <t>Bouclier (Large)</t>
  </si>
  <si>
    <t>Cavalerie</t>
  </si>
  <si>
    <t>Marteau de Cavalerie</t>
  </si>
  <si>
    <t>Lance</t>
  </si>
  <si>
    <t>N/A</t>
  </si>
  <si>
    <t>16/-</t>
  </si>
  <si>
    <t>8/-</t>
  </si>
  <si>
    <t>2CO</t>
  </si>
  <si>
    <t>3CO</t>
  </si>
  <si>
    <t>1CO</t>
  </si>
  <si>
    <t>Rare</t>
  </si>
  <si>
    <t>Très court</t>
  </si>
  <si>
    <t>Personnel</t>
  </si>
  <si>
    <t>Long</t>
  </si>
  <si>
    <t>Très long</t>
  </si>
  <si>
    <t>BF+1</t>
  </si>
  <si>
    <t>BF+2</t>
  </si>
  <si>
    <t>BF+3</t>
  </si>
  <si>
    <t>BF+5</t>
  </si>
  <si>
    <t>BF+6</t>
  </si>
  <si>
    <t>Inoffensif</t>
  </si>
  <si>
    <t>Assomante</t>
  </si>
  <si>
    <t>Empaleuse</t>
  </si>
  <si>
    <t>Hast</t>
  </si>
  <si>
    <t>Bâton de combat</t>
  </si>
  <si>
    <t>Hallebarde</t>
  </si>
  <si>
    <t>Pique</t>
  </si>
  <si>
    <t>Sarisse</t>
  </si>
  <si>
    <t>3/-</t>
  </si>
  <si>
    <t>15/-</t>
  </si>
  <si>
    <t>18/-</t>
  </si>
  <si>
    <t>Considérable</t>
  </si>
  <si>
    <t>Bagarre</t>
  </si>
  <si>
    <t>Main nue</t>
  </si>
  <si>
    <t>Ceste</t>
  </si>
  <si>
    <t>2/6</t>
  </si>
  <si>
    <t>0</t>
  </si>
  <si>
    <t>BF+0</t>
  </si>
  <si>
    <t>Deux mains</t>
  </si>
  <si>
    <t>Epée batarde</t>
  </si>
  <si>
    <t>Grande hache</t>
  </si>
  <si>
    <t>Marteau de guerre</t>
  </si>
  <si>
    <t>Pioche</t>
  </si>
  <si>
    <t>Zweihänder</t>
  </si>
  <si>
    <t>8CO</t>
  </si>
  <si>
    <t>4CO</t>
  </si>
  <si>
    <t>9/-</t>
  </si>
  <si>
    <t>10CO</t>
  </si>
  <si>
    <t>3</t>
  </si>
  <si>
    <t>Limité</t>
  </si>
  <si>
    <t>Dévastatrice</t>
  </si>
  <si>
    <t>Percutante</t>
  </si>
  <si>
    <t>Escrime</t>
  </si>
  <si>
    <t>Fleuret</t>
  </si>
  <si>
    <t>Rapière</t>
  </si>
  <si>
    <t>5CO</t>
  </si>
  <si>
    <t>1</t>
  </si>
  <si>
    <t>Pointue</t>
  </si>
  <si>
    <t>Fléau</t>
  </si>
  <si>
    <t>Fléau à graine</t>
  </si>
  <si>
    <t>Fléau d'armes</t>
  </si>
  <si>
    <t>10/-</t>
  </si>
  <si>
    <t>2</t>
  </si>
  <si>
    <t>long</t>
  </si>
  <si>
    <t>Parade</t>
  </si>
  <si>
    <t>Brise-épée</t>
  </si>
  <si>
    <t>Main gauche</t>
  </si>
  <si>
    <t>1CO 2/6</t>
  </si>
  <si>
    <t>court</t>
  </si>
  <si>
    <t>Qualité &amp; Défaut</t>
  </si>
  <si>
    <t>Arbalète</t>
  </si>
  <si>
    <t>Arc</t>
  </si>
  <si>
    <t>Arbalète de poing</t>
  </si>
  <si>
    <t>Arbalète lourde</t>
  </si>
  <si>
    <t>Arc court</t>
  </si>
  <si>
    <t>Arc elfique</t>
  </si>
  <si>
    <t>Arc long</t>
  </si>
  <si>
    <t>6CO</t>
  </si>
  <si>
    <t>7CO</t>
  </si>
  <si>
    <t>Exotique</t>
  </si>
  <si>
    <t>Portée</t>
  </si>
  <si>
    <t>60</t>
  </si>
  <si>
    <t>10</t>
  </si>
  <si>
    <t>100</t>
  </si>
  <si>
    <t>50</t>
  </si>
  <si>
    <t>20</t>
  </si>
  <si>
    <t>150</t>
  </si>
  <si>
    <t>+9</t>
  </si>
  <si>
    <t>+7</t>
  </si>
  <si>
    <t>Recharge 1</t>
  </si>
  <si>
    <t>Pistolet</t>
  </si>
  <si>
    <t>Recharge 2</t>
  </si>
  <si>
    <t>Entraves</t>
  </si>
  <si>
    <t>Fouet</t>
  </si>
  <si>
    <t>Lasso</t>
  </si>
  <si>
    <t>5/-</t>
  </si>
  <si>
    <t>6/-</t>
  </si>
  <si>
    <t>6</t>
  </si>
  <si>
    <t>Immobilisante</t>
  </si>
  <si>
    <t>Explosif</t>
  </si>
  <si>
    <t>Bombe</t>
  </si>
  <si>
    <t>Molotov</t>
  </si>
  <si>
    <t>BF</t>
  </si>
  <si>
    <t>+12</t>
  </si>
  <si>
    <t>Dangereuse</t>
  </si>
  <si>
    <t>Fronde</t>
  </si>
  <si>
    <t>Fustibale</t>
  </si>
  <si>
    <t>+6</t>
  </si>
  <si>
    <t>Lancer</t>
  </si>
  <si>
    <t>Bolas</t>
  </si>
  <si>
    <t>Cauteau de lancer</t>
  </si>
  <si>
    <t>Flèchette</t>
  </si>
  <si>
    <t>Hache de lancer</t>
  </si>
  <si>
    <t>Javelot</t>
  </si>
  <si>
    <t>Rocher</t>
  </si>
  <si>
    <t>2/-</t>
  </si>
  <si>
    <t>10/6</t>
  </si>
  <si>
    <t>Ingénierie</t>
  </si>
  <si>
    <t>Poudre noir</t>
  </si>
  <si>
    <t>Arquebuse à répétition</t>
  </si>
  <si>
    <t>Pistolet à répétition</t>
  </si>
  <si>
    <t>Long fusil</t>
  </si>
  <si>
    <t xml:space="preserve">Pistolet </t>
  </si>
  <si>
    <t>Tromblon</t>
  </si>
  <si>
    <t>15CO</t>
  </si>
  <si>
    <t>100CO</t>
  </si>
  <si>
    <t>30</t>
  </si>
  <si>
    <t>+8</t>
  </si>
  <si>
    <t>Répétition 4</t>
  </si>
  <si>
    <t>Recharge 4</t>
  </si>
  <si>
    <t>Recharge 3</t>
  </si>
  <si>
    <t>Ame improvisée</t>
  </si>
  <si>
    <t>Arme de poing</t>
  </si>
  <si>
    <t>Aucun</t>
  </si>
  <si>
    <t>Discrétion (Souterrain ou Urbain)</t>
  </si>
  <si>
    <t>Discrétion (Rural ou Urbain)</t>
  </si>
  <si>
    <t>Aug</t>
  </si>
  <si>
    <t>Divertissement (Conteur)</t>
  </si>
  <si>
    <t>Sixième Sens</t>
  </si>
  <si>
    <t>Matériel d'écriture, Marteau et clous, Pile de tract</t>
  </si>
  <si>
    <t>Discrétion (Urbain)</t>
  </si>
  <si>
    <t>Jouer (au choix)</t>
  </si>
  <si>
    <t>Sens aiguiser (au choix)</t>
  </si>
  <si>
    <t>Métiers (au choix)</t>
  </si>
  <si>
    <t>Résistance (au choix)</t>
  </si>
  <si>
    <t>A distance (arc)</t>
  </si>
  <si>
    <t>Métier (Cuisine)</t>
  </si>
  <si>
    <t>gobelet, vielle couverture</t>
  </si>
  <si>
    <t>Seau, brosse, serpilliere</t>
  </si>
  <si>
    <t>Meurtrier</t>
  </si>
  <si>
    <t>Mêlée (Bagarre)</t>
  </si>
  <si>
    <t>Equitation</t>
  </si>
  <si>
    <t>Langue (Bataille)</t>
  </si>
  <si>
    <t>Representation (au choix)</t>
  </si>
  <si>
    <t>Bâtonnet de charbon de bois, carte de gisement, pelle, pioche</t>
  </si>
  <si>
    <t>Métier (Ingénerie))</t>
  </si>
  <si>
    <t>Fronde avec munitions, Sac, petit chien méchant</t>
  </si>
  <si>
    <t>Pinceau ou burin ou plume d'oie</t>
  </si>
  <si>
    <t>Clef, Lanterne,  huile, livrée</t>
  </si>
  <si>
    <t>Art (Calligraphie)</t>
  </si>
  <si>
    <t>Optimisé</t>
  </si>
  <si>
    <t>+3/+5</t>
  </si>
  <si>
    <t>B</t>
  </si>
  <si>
    <t>Equipement</t>
  </si>
  <si>
    <t>Reso</t>
  </si>
  <si>
    <t>Persévérance</t>
  </si>
  <si>
    <t>Point de destin</t>
  </si>
  <si>
    <t>Point de fortune</t>
  </si>
  <si>
    <t>Résolution</t>
  </si>
  <si>
    <t>Type</t>
  </si>
  <si>
    <t>Toucher</t>
  </si>
  <si>
    <t>Dgt</t>
  </si>
  <si>
    <t xml:space="preserve"> Empaleuse</t>
  </si>
  <si>
    <t xml:space="preserve"> Assomante</t>
  </si>
  <si>
    <t xml:space="preserve"> Taille</t>
  </si>
  <si>
    <t xml:space="preserve"> Défense</t>
  </si>
  <si>
    <t xml:space="preserve"> A enroulement</t>
  </si>
  <si>
    <t xml:space="preserve"> Piège-lame</t>
  </si>
  <si>
    <t xml:space="preserve"> Inoffensif</t>
  </si>
  <si>
    <t xml:space="preserve"> Lente</t>
  </si>
  <si>
    <t xml:space="preserve"> Enroulement</t>
  </si>
  <si>
    <t xml:space="preserve"> Innofensive</t>
  </si>
  <si>
    <t>Arme de contact</t>
  </si>
  <si>
    <t>Arme à distance</t>
  </si>
  <si>
    <t>A distance (Entraves)</t>
  </si>
  <si>
    <t xml:space="preserve">Arme de poing (Gaffe), gant en cuir </t>
  </si>
  <si>
    <t>Mêlée (Escrime)</t>
  </si>
  <si>
    <t>Mêlée (Base)</t>
  </si>
  <si>
    <t>Mêlée (Cavalerie)</t>
  </si>
  <si>
    <t>Mêlée (Hast)</t>
  </si>
  <si>
    <t>Mêlée (Deux mains)</t>
  </si>
  <si>
    <t>Mêlée (Parade)</t>
  </si>
  <si>
    <t>A distance (Explosif)</t>
  </si>
  <si>
    <t>A distance (Lancer)</t>
  </si>
  <si>
    <t>A distance (Ingénierie)</t>
  </si>
  <si>
    <t>A distance (Poudre noir)</t>
  </si>
  <si>
    <t>Valeur</t>
  </si>
  <si>
    <t>Talent de race</t>
  </si>
  <si>
    <t>Talent de carrière</t>
  </si>
  <si>
    <t>Description physique</t>
  </si>
  <si>
    <t>Bouclier 1,</t>
  </si>
  <si>
    <t>Bouclier 2,</t>
  </si>
  <si>
    <t>Bouclier 3,</t>
  </si>
  <si>
    <t>Rapide,</t>
  </si>
  <si>
    <t>Défensive,</t>
  </si>
  <si>
    <t>Dévastatrice,</t>
  </si>
  <si>
    <t>Epuisante,</t>
  </si>
  <si>
    <t>Assomante,</t>
  </si>
  <si>
    <t>Pertubante,</t>
  </si>
  <si>
    <t xml:space="preserve"> Défensif, </t>
  </si>
  <si>
    <t xml:space="preserve"> Taille, </t>
  </si>
  <si>
    <t xml:space="preserve"> Percutante, </t>
  </si>
  <si>
    <t xml:space="preserve"> Dévastatrice, </t>
  </si>
  <si>
    <t xml:space="preserve"> Empaleuse, </t>
  </si>
  <si>
    <t xml:space="preserve"> Imprécise, </t>
  </si>
  <si>
    <t xml:space="preserve"> Epuisante, </t>
  </si>
  <si>
    <t xml:space="preserve"> Pointue, </t>
  </si>
  <si>
    <t xml:space="preserve">Dévastatrice, </t>
  </si>
  <si>
    <t xml:space="preserve">Explosion 5, </t>
  </si>
  <si>
    <t xml:space="preserve">Explosion 4, </t>
  </si>
  <si>
    <t xml:space="preserve">Dangereuse, </t>
  </si>
  <si>
    <t xml:space="preserve">Précis, </t>
  </si>
  <si>
    <t xml:space="preserve">Pistolet, </t>
  </si>
  <si>
    <t xml:space="preserve">A explosion, </t>
  </si>
  <si>
    <t xml:space="preserve">Recharge 5, </t>
  </si>
  <si>
    <t xml:space="preserve">Pointue, </t>
  </si>
  <si>
    <t>+0</t>
  </si>
  <si>
    <t>Art (Ecriture)</t>
  </si>
  <si>
    <t>Métier (Imprimerie)</t>
  </si>
  <si>
    <t>Métier (Ingénerie)</t>
  </si>
  <si>
    <t>Métier (Herboriste)</t>
  </si>
  <si>
    <t>Savoir (Theologie)</t>
  </si>
  <si>
    <t>Savoir (Politique)</t>
  </si>
  <si>
    <t>Savoir (Heraldique)</t>
  </si>
  <si>
    <t>Lanterne,  huile, Journal, plume d'oie et encre</t>
  </si>
  <si>
    <t>Boulier, Mule avec charrette, grande bâce en toile , 3d10 PA</t>
  </si>
  <si>
    <t>Matériel d'écriture</t>
  </si>
  <si>
    <t>Arme de poing ou Rapière, Fronde , sac contenant une tenue et 1d10 Bandages</t>
  </si>
  <si>
    <t>Tenue noble, miroir ou miroir à main, Bijoux valant 3d10 PC, Serviteur personnel</t>
  </si>
  <si>
    <t>Balai</t>
  </si>
  <si>
    <t>Arme de poing (Epée), plastron de cuir , Uniforme</t>
  </si>
  <si>
    <t>Grande hache, Flacon de spiritueux, honte, Tatouage</t>
  </si>
  <si>
    <t>Arme de poing , Instruments de torture</t>
  </si>
  <si>
    <t>Manteau fourré et gants, Fouet</t>
  </si>
  <si>
    <t>Sac à dos, sac de couchage, marchandise valant 2d10 PC, tente</t>
  </si>
  <si>
    <t>Fléau, robe usée</t>
  </si>
  <si>
    <t>Etui à parchemin</t>
  </si>
  <si>
    <t>Bol , Instrument</t>
  </si>
  <si>
    <t>Livre (Vierge), breuvage curative, chemise en cuir, mortier et pilon</t>
  </si>
  <si>
    <t>Livre (Loi), loupe</t>
  </si>
  <si>
    <t>Alcool, Book, Opinions, matériel d'écriture</t>
  </si>
  <si>
    <t>Livre (Ingénerie), Marteau et Clou</t>
  </si>
  <si>
    <t>symbole religieux, Robes</t>
  </si>
  <si>
    <t>Grand sac, masque ou écharpe, poudrière, Lanterne tempête et huile</t>
  </si>
  <si>
    <t>Bar à mine, Large Sac, gants de cuir</t>
  </si>
  <si>
    <t>Arme de poing (Gaffe),  Lanterne tempête et huile</t>
  </si>
  <si>
    <t>Sac à dos, 2 tenues, paquet de carte, un set de dé</t>
  </si>
  <si>
    <t>Bougies, craie, poupée, épingle</t>
  </si>
  <si>
    <t>Flacon de spiritueux</t>
  </si>
  <si>
    <t>Bottes, cape, Fronde, sacoche contenant une variété d'herbes</t>
  </si>
  <si>
    <t>Paquet de carte ou Set de dés, Bijoux de pacotille</t>
  </si>
  <si>
    <t>d10 porte-bonheur, Bâton de combat, Sac à dos</t>
  </si>
  <si>
    <t>Calotte de cuir</t>
  </si>
  <si>
    <t>Cuir bouilli</t>
  </si>
  <si>
    <t>Justaucorps de cuir</t>
  </si>
  <si>
    <t>Plastron</t>
  </si>
  <si>
    <t>Veste de cuir</t>
  </si>
  <si>
    <t>Chausses de mailles</t>
  </si>
  <si>
    <t>Chemise de mailles</t>
  </si>
  <si>
    <t>Coiffe de maille</t>
  </si>
  <si>
    <t>Cotte de mailles</t>
  </si>
  <si>
    <t>Brassards</t>
  </si>
  <si>
    <t>Jambières d'acier</t>
  </si>
  <si>
    <t>Jambières de cuir</t>
  </si>
  <si>
    <t>Heaume ouvert</t>
  </si>
  <si>
    <t>Discretion</t>
  </si>
  <si>
    <t>Tete</t>
  </si>
  <si>
    <t>Corps</t>
  </si>
  <si>
    <t>Jambes</t>
  </si>
  <si>
    <t>Bras</t>
  </si>
  <si>
    <t>Partielle</t>
  </si>
  <si>
    <t>Points faibles</t>
  </si>
  <si>
    <t>Flexible</t>
  </si>
  <si>
    <t>Flexible, Partielle</t>
  </si>
  <si>
    <t>Impénétrable, Points faibles</t>
  </si>
  <si>
    <t>Hébergement, peire de bottes robustes</t>
  </si>
  <si>
    <t>Arme de poing, Veste de cuir, Uniforme</t>
  </si>
  <si>
    <t>Veste de cuir, livrée, étui à parchemin</t>
  </si>
  <si>
    <t>Bandages, Cestes, Arme de poing , Veste de cuir</t>
  </si>
  <si>
    <t>Ceste, capuche ou masque, Veste de cuir</t>
  </si>
  <si>
    <t>Arbalète avec 10 carreaux, Veste de cuir</t>
  </si>
  <si>
    <t>Arme de poing (épée), Veste de cuir, Uniforme</t>
  </si>
  <si>
    <t>Coup-de-poing, Veste de cuir</t>
  </si>
  <si>
    <t>Arme de poing, Veste de cuir, botte robuste et cape, corde</t>
  </si>
  <si>
    <t>Bâtonnet de charbon de bois, Fronde, sac avec 2 tenues et cape à capuche</t>
  </si>
  <si>
    <t>Craie, Veste de cuir, 1d10 chiffons</t>
  </si>
  <si>
    <t>Arme de poing, Veste de cuir, Lanterne tempête avec huile</t>
  </si>
  <si>
    <t>Livre (Religion), Veste de cuir, symbole religieux, Robes, Arme de poing (au choix)</t>
  </si>
  <si>
    <t>Arme de poing, Veste de cuir, corde</t>
  </si>
  <si>
    <t>Sac de couchage, Arme de poing, Veste de cuir, boite à amadou</t>
  </si>
  <si>
    <t>Barre à mine, Veste de cuir, Sac</t>
  </si>
  <si>
    <t>Arme de poing, Veste de cuir , Cheval avec selle et fonte</t>
  </si>
  <si>
    <t>Grimoire, Bâton de combat</t>
  </si>
  <si>
    <t>Arme de poing (Gaffe), Veste de cuir, Perche</t>
  </si>
  <si>
    <t xml:space="preserve">Seau, canne à pêche et appât, Jambières de cuir </t>
  </si>
  <si>
    <t>Barre à mine, bâche, cape à capuche, charrette</t>
  </si>
  <si>
    <t>Arme de poing, biens volés valant 3d10 PC</t>
  </si>
  <si>
    <t>Selection de piège à animaux, Arme de poing, paire de bottes robuste et cape, Fronde avec munitions</t>
  </si>
  <si>
    <t>Arme de poing , petit coffret verrouillable</t>
  </si>
  <si>
    <t>Lance, Veste de cuir , Chemise de mailles, Cheval avec selle et fonte, bouclier et outil (Maréchal Ferrant)</t>
  </si>
  <si>
    <t>Armure</t>
  </si>
  <si>
    <t>-10</t>
  </si>
  <si>
    <t>-20</t>
  </si>
  <si>
    <t>Augment</t>
  </si>
  <si>
    <t>Générateur de PJ/PNJ pour Warhammer JDR V4</t>
  </si>
  <si>
    <t>Divertissement (Narration)</t>
  </si>
  <si>
    <t>Divertissement (Voyance)</t>
  </si>
  <si>
    <t>Maitre artisan (Apothicaire)</t>
  </si>
  <si>
    <t>Métier (Apothicaire)</t>
  </si>
  <si>
    <t>Métier (Empoisonneur)</t>
  </si>
  <si>
    <t>Play (Tambour ou Fifre ou Fife)</t>
  </si>
  <si>
    <t>Savoir (Herbes)</t>
  </si>
  <si>
    <t>Savoir (Voies Fluviales)</t>
  </si>
  <si>
    <t>Bricoleur</t>
  </si>
  <si>
    <t>Savoir-vivre (au choix)</t>
  </si>
  <si>
    <t>Savoir-vivre (Nobles)</t>
  </si>
  <si>
    <t>Savoir-vivre (Cultistes)</t>
  </si>
  <si>
    <t>Savoir-vivre (Criminels)</t>
  </si>
  <si>
    <t>Lecture Rapide</t>
  </si>
  <si>
    <t>Savoir-vivre (Erudit)</t>
  </si>
  <si>
    <t>Sans peur (Tout)</t>
  </si>
  <si>
    <t>Visions Sacrées</t>
  </si>
  <si>
    <t>Coude-à-coude</t>
  </si>
  <si>
    <t>Orateur</t>
  </si>
  <si>
    <t>Affable</t>
  </si>
  <si>
    <t>Attirant</t>
  </si>
  <si>
    <t>Charge Berserk</t>
  </si>
  <si>
    <t>Concocter</t>
  </si>
  <si>
    <t>Artilleur</t>
  </si>
  <si>
    <t>Sens aiguisé (Goût)</t>
  </si>
  <si>
    <t>Perspicace</t>
  </si>
  <si>
    <t>Bon marcheur (Littoral)</t>
  </si>
  <si>
    <t>Bon marcheur (Rocailleux)</t>
  </si>
  <si>
    <t>Bon marcheur (Terrain boisé)</t>
  </si>
  <si>
    <t>Bon marcheur (Marécages)</t>
  </si>
  <si>
    <t>Harmonisation Aethyrique</t>
  </si>
  <si>
    <t>Savoir-vivre (Serviteurs)</t>
  </si>
  <si>
    <t xml:space="preserve">
1) Aller sur la page "Feuille de Personnage"
2) les cellules modifiables  sont marquer en jaune (ne pas modifier les autres cellules !)
   a) La race 
   b) La carrière
       Les carrières sont limitées à la race définie 
   c) Le profil
       Le profil correspond à l'attribution des jets de dés au différentes caracteristique 
       Le profil "Optimisé" attribut les meilleurs jets aux caractèristiques principales (selon le schéma de progression)
       Le profil "Aléatoire" attribut les jets aléatoirement 
       Le profil "Personnalisé" attribut les meilleurs jets selon votre préférence défini dans la colonne "Profil Personnalisé"
       Les autres profils tentent de s'approcher d'un archétype de carrière
   d) Les points bonus
       Chaque race obtient des points bonus à attribuer en point de chance ou en résilience 
   e) les +3/+5
        Vous pouvez attribuer 3 bonus de +5 et 3 bonus de +3 aux compétences de carrière
3) Le système attribut automatiquement +5 aux competences de carriere 
4) Le systeme gere automatiquement les talents, les armes et les armures 
5) Quand l'ensemble de choix est défini vous pouvez aller dans la page "Final" pour voir ou imprimer une version sans information inutile. 
</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</si>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</sst>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8"/>
      <name val="Calibri"/>
      <family val="2"/>
      <scheme val="minor"/>
    </font>
    <font>
      <b/>
      <sz val="12"/>
      <color theme="1"/>
      <name val="Calibri"/>
      <family val="2"/>
      <scheme val="minor"/>
    </font>
    <font>
      <b/>
      <i/>
      <sz val="12"/>
      <color theme="1"/>
      <name val="Calibri"/>
      <family val="2"/>
      <scheme val="minor"/>
    </font>
    <font>
      <b/>
      <sz val="11"/>
      <color theme="0"/>
      <name val="Calibri"/>
      <family val="2"/>
      <scheme val="minor"/>
    </font>
    <font>
      <sz val="14"/>
      <color rgb="FF242021"/>
      <name val="ACaslonPro-Regular"/>
    </font>
    <font>
      <sz val="11"/>
      <color rgb="FF000000"/>
      <name val="Courier New"/>
      <family val="3"/>
    </font>
    <font>
      <b/>
      <sz val="14"/>
      <color theme="0"/>
      <name val="Calibri"/>
      <family val="2"/>
      <scheme val="minor"/>
    </font>
    <font>
      <b/>
      <i/>
      <sz val="11"/>
      <color theme="1"/>
      <name val="Calibri"/>
      <family val="2"/>
      <scheme val="minor"/>
    </font>
    <font>
      <b/>
      <sz val="11"/>
      <color theme="1"/>
      <name val="Calibri"/>
      <family val="2"/>
      <scheme val="minor"/>
    </font>
    <font>
      <sz val="11"/>
      <color rgb="FFFF0000"/>
      <name val="Calibri"/>
      <family val="2"/>
      <scheme val="minor"/>
    </font>
    <font>
      <b/>
      <sz val="14"/>
      <color theme="1"/>
      <name val="Bookman Old Style"/>
      <family val="1"/>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bgColor theme="1"/>
      </patternFill>
    </fill>
    <fill>
      <patternFill patternType="solid">
        <fgColor theme="9" tint="0.59999389629810485"/>
        <bgColor indexed="64"/>
      </patternFill>
    </fill>
    <fill>
      <patternFill patternType="solid">
        <fgColor theme="0"/>
        <bgColor indexed="64"/>
      </patternFill>
    </fill>
    <fill>
      <patternFill patternType="solid">
        <fgColor theme="0"/>
        <bgColor theme="0" tint="-0.14999847407452621"/>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tint="-4.9989318521683403E-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67">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0" fillId="0" borderId="10" xfId="0" applyBorder="1"/>
    <xf numFmtId="0" fontId="0" fillId="0" borderId="12" xfId="0" applyBorder="1"/>
    <xf numFmtId="0" fontId="0" fillId="0" borderId="13" xfId="0" applyBorder="1"/>
    <xf numFmtId="0" fontId="0" fillId="0" borderId="4" xfId="0" applyBorder="1"/>
    <xf numFmtId="0" fontId="0" fillId="0" borderId="6" xfId="0" applyBorder="1"/>
    <xf numFmtId="0" fontId="0" fillId="0" borderId="10" xfId="0" applyBorder="1" applyAlignment="1">
      <alignment horizontal="center"/>
    </xf>
    <xf numFmtId="0" fontId="0" fillId="0" borderId="14" xfId="0" applyBorder="1" applyAlignment="1">
      <alignment wrapText="1"/>
    </xf>
    <xf numFmtId="0" fontId="0" fillId="0" borderId="15" xfId="0" applyBorder="1" applyAlignment="1">
      <alignment wrapText="1"/>
    </xf>
    <xf numFmtId="0" fontId="0" fillId="0" borderId="14" xfId="0" applyBorder="1"/>
    <xf numFmtId="0" fontId="0" fillId="0" borderId="15" xfId="0" applyBorder="1"/>
    <xf numFmtId="0" fontId="0" fillId="0" borderId="0" xfId="0" applyAlignment="1">
      <alignment horizontal="left"/>
    </xf>
    <xf numFmtId="0" fontId="0" fillId="0" borderId="3" xfId="0" applyBorder="1"/>
    <xf numFmtId="0" fontId="0" fillId="0" borderId="5" xfId="0" applyBorder="1"/>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1" xfId="0" applyBorder="1"/>
    <xf numFmtId="0" fontId="0" fillId="0" borderId="2" xfId="0" applyBorder="1"/>
    <xf numFmtId="0" fontId="0" fillId="0" borderId="16" xfId="0" applyBorder="1"/>
    <xf numFmtId="0" fontId="0" fillId="0" borderId="0" xfId="0" applyAlignment="1">
      <alignment horizontal="center"/>
    </xf>
    <xf numFmtId="0" fontId="0" fillId="0" borderId="25" xfId="0" applyFill="1" applyBorder="1"/>
    <xf numFmtId="0" fontId="0" fillId="0" borderId="7"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2" borderId="12" xfId="0" applyFill="1" applyBorder="1" applyAlignment="1">
      <alignment wrapText="1"/>
    </xf>
    <xf numFmtId="0" fontId="0" fillId="2" borderId="10" xfId="0" applyFill="1" applyBorder="1"/>
    <xf numFmtId="0" fontId="0" fillId="2" borderId="4" xfId="0" applyFill="1" applyBorder="1" applyAlignment="1">
      <alignment wrapText="1"/>
    </xf>
    <xf numFmtId="0" fontId="0" fillId="2" borderId="5" xfId="0" applyFill="1" applyBorder="1"/>
    <xf numFmtId="0" fontId="0" fillId="2" borderId="27" xfId="0" applyFill="1" applyBorder="1"/>
    <xf numFmtId="0" fontId="0" fillId="2" borderId="28" xfId="0" applyFill="1" applyBorder="1"/>
    <xf numFmtId="0" fontId="0" fillId="3" borderId="10" xfId="0" applyFill="1" applyBorder="1"/>
    <xf numFmtId="0" fontId="0" fillId="3" borderId="12" xfId="0" applyFill="1" applyBorder="1"/>
    <xf numFmtId="0" fontId="0" fillId="3" borderId="4" xfId="0" applyFill="1" applyBorder="1"/>
    <xf numFmtId="0" fontId="0" fillId="3" borderId="5" xfId="0" applyFill="1" applyBorder="1"/>
    <xf numFmtId="0" fontId="0" fillId="2" borderId="1" xfId="0" applyFill="1" applyBorder="1" applyAlignment="1">
      <alignment wrapText="1"/>
    </xf>
    <xf numFmtId="0" fontId="0" fillId="2" borderId="2" xfId="0" applyFill="1" applyBorder="1"/>
    <xf numFmtId="0" fontId="0" fillId="3" borderId="2" xfId="0" applyFill="1" applyBorder="1"/>
    <xf numFmtId="0" fontId="0" fillId="2" borderId="33" xfId="0" applyFill="1" applyBorder="1"/>
    <xf numFmtId="0" fontId="0" fillId="3" borderId="1" xfId="0" applyFill="1" applyBorder="1" applyAlignment="1">
      <alignment wrapText="1"/>
    </xf>
    <xf numFmtId="0" fontId="0" fillId="0" borderId="0" xfId="0" applyAlignment="1">
      <alignment horizontal="center"/>
    </xf>
    <xf numFmtId="0" fontId="0" fillId="3" borderId="33" xfId="0" applyFill="1" applyBorder="1"/>
    <xf numFmtId="0" fontId="0" fillId="3" borderId="27" xfId="0" applyFill="1" applyBorder="1"/>
    <xf numFmtId="0" fontId="0" fillId="3" borderId="28" xfId="0" applyFill="1" applyBorder="1"/>
    <xf numFmtId="0" fontId="2" fillId="4" borderId="42" xfId="0" applyFont="1" applyFill="1" applyBorder="1" applyAlignment="1">
      <alignment horizontal="center"/>
    </xf>
    <xf numFmtId="0" fontId="0" fillId="6" borderId="18" xfId="0" applyFill="1" applyBorder="1"/>
    <xf numFmtId="0" fontId="0" fillId="6" borderId="19" xfId="0" applyFill="1" applyBorder="1"/>
    <xf numFmtId="0" fontId="0" fillId="6" borderId="20" xfId="0" applyFill="1" applyBorder="1"/>
    <xf numFmtId="0" fontId="0" fillId="0" borderId="44" xfId="0" applyBorder="1"/>
    <xf numFmtId="0" fontId="0" fillId="0" borderId="53" xfId="0" applyBorder="1" applyAlignment="1">
      <alignment horizontal="center"/>
    </xf>
    <xf numFmtId="0" fontId="0" fillId="0" borderId="32" xfId="0" applyBorder="1" applyAlignment="1">
      <alignment horizontal="center"/>
    </xf>
    <xf numFmtId="0" fontId="0" fillId="0" borderId="29" xfId="0" applyBorder="1" applyAlignment="1">
      <alignment horizontal="left"/>
    </xf>
    <xf numFmtId="0" fontId="0" fillId="0" borderId="0" xfId="0" applyBorder="1" applyAlignment="1">
      <alignment wrapText="1"/>
    </xf>
    <xf numFmtId="0" fontId="0" fillId="7" borderId="12" xfId="0" applyFont="1" applyFill="1" applyBorder="1"/>
    <xf numFmtId="0" fontId="0" fillId="7" borderId="13" xfId="0" applyFill="1" applyBorder="1" applyAlignment="1">
      <alignment wrapText="1"/>
    </xf>
    <xf numFmtId="0" fontId="0" fillId="8" borderId="12" xfId="0" applyFont="1" applyFill="1" applyBorder="1"/>
    <xf numFmtId="0" fontId="0" fillId="7" borderId="13" xfId="0" applyFill="1" applyBorder="1"/>
    <xf numFmtId="0" fontId="0" fillId="7" borderId="13" xfId="0" applyFont="1" applyFill="1" applyBorder="1"/>
    <xf numFmtId="0" fontId="0" fillId="7" borderId="6" xfId="0" applyFill="1" applyBorder="1"/>
    <xf numFmtId="0" fontId="0" fillId="0" borderId="0" xfId="0" applyAlignment="1">
      <alignment horizontal="center"/>
    </xf>
    <xf numFmtId="0" fontId="0" fillId="0" borderId="40" xfId="0" applyBorder="1" applyAlignment="1">
      <alignment horizontal="center"/>
    </xf>
    <xf numFmtId="0" fontId="0" fillId="0" borderId="0" xfId="0" applyBorder="1" applyAlignment="1">
      <alignment horizontal="center" vertical="center"/>
    </xf>
    <xf numFmtId="0" fontId="0" fillId="0" borderId="1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Alignment="1"/>
    <xf numFmtId="0" fontId="0" fillId="0" borderId="23" xfId="0" applyBorder="1"/>
    <xf numFmtId="0" fontId="0" fillId="0" borderId="22" xfId="0" applyBorder="1"/>
    <xf numFmtId="0" fontId="0" fillId="0" borderId="59" xfId="0" applyBorder="1" applyAlignment="1">
      <alignment horizontal="center"/>
    </xf>
    <xf numFmtId="0" fontId="0" fillId="0" borderId="42" xfId="0" applyBorder="1" applyAlignment="1">
      <alignment horizontal="center"/>
    </xf>
    <xf numFmtId="0" fontId="0" fillId="2" borderId="11" xfId="0"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0" borderId="9" xfId="0" applyBorder="1" applyAlignment="1">
      <alignment horizontal="center"/>
    </xf>
    <xf numFmtId="0" fontId="0" fillId="0" borderId="62" xfId="0" applyBorder="1" applyAlignment="1">
      <alignment horizontal="center"/>
    </xf>
    <xf numFmtId="0" fontId="0" fillId="0" borderId="25" xfId="0" applyBorder="1" applyAlignment="1">
      <alignment horizontal="center"/>
    </xf>
    <xf numFmtId="0" fontId="0" fillId="0" borderId="63" xfId="0" applyBorder="1" applyAlignment="1">
      <alignment horizontal="center"/>
    </xf>
    <xf numFmtId="0" fontId="0" fillId="0" borderId="43" xfId="0"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23" xfId="0"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1" xfId="0" applyBorder="1"/>
    <xf numFmtId="0" fontId="0" fillId="0" borderId="0" xfId="0" applyFill="1" applyBorder="1"/>
    <xf numFmtId="0" fontId="0" fillId="0" borderId="42" xfId="0" applyBorder="1"/>
    <xf numFmtId="0" fontId="0" fillId="0" borderId="34" xfId="0" applyBorder="1"/>
    <xf numFmtId="0" fontId="0" fillId="0" borderId="35" xfId="0" applyBorder="1"/>
    <xf numFmtId="0" fontId="0" fillId="0" borderId="10" xfId="0" applyBorder="1" applyAlignment="1">
      <alignment wrapText="1"/>
    </xf>
    <xf numFmtId="0" fontId="0" fillId="0" borderId="6" xfId="0" applyFill="1" applyBorder="1"/>
    <xf numFmtId="0" fontId="9" fillId="0" borderId="1" xfId="0" applyFont="1" applyBorder="1" applyAlignment="1">
      <alignment horizontal="center"/>
    </xf>
    <xf numFmtId="0" fontId="9" fillId="0" borderId="12" xfId="0" applyFont="1" applyBorder="1" applyAlignment="1">
      <alignment horizontal="center"/>
    </xf>
    <xf numFmtId="0" fontId="9" fillId="0" borderId="4" xfId="0" applyFont="1" applyBorder="1" applyAlignment="1">
      <alignment horizontal="center"/>
    </xf>
    <xf numFmtId="0" fontId="0" fillId="0" borderId="0" xfId="0" applyBorder="1" applyAlignment="1">
      <alignment horizontal="center"/>
    </xf>
    <xf numFmtId="0" fontId="0" fillId="0" borderId="1" xfId="0" applyBorder="1" applyAlignment="1">
      <alignment wrapText="1"/>
    </xf>
    <xf numFmtId="0" fontId="0" fillId="0" borderId="3" xfId="0" applyBorder="1" applyAlignment="1">
      <alignment wrapText="1"/>
    </xf>
    <xf numFmtId="0" fontId="0" fillId="9" borderId="12" xfId="0" applyFont="1" applyFill="1" applyBorder="1"/>
    <xf numFmtId="0" fontId="0" fillId="0" borderId="12" xfId="0" applyFont="1" applyBorder="1"/>
    <xf numFmtId="0" fontId="0" fillId="0" borderId="12" xfId="0" applyFill="1" applyBorder="1"/>
    <xf numFmtId="0" fontId="0" fillId="9" borderId="4" xfId="0" applyFont="1" applyFill="1" applyBorder="1"/>
    <xf numFmtId="0" fontId="0" fillId="10" borderId="12" xfId="0" applyFont="1" applyFill="1" applyBorder="1"/>
    <xf numFmtId="0" fontId="0" fillId="7" borderId="10" xfId="0" applyFill="1" applyBorder="1" applyAlignment="1">
      <alignment horizontal="center" vertical="center"/>
    </xf>
    <xf numFmtId="0" fontId="0" fillId="7" borderId="13"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12" xfId="0" applyFill="1" applyBorder="1"/>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12" xfId="0" applyFill="1" applyBorder="1" applyAlignment="1">
      <alignment wrapText="1"/>
    </xf>
    <xf numFmtId="0" fontId="0" fillId="7" borderId="4" xfId="0" applyFill="1" applyBorder="1"/>
    <xf numFmtId="49" fontId="0" fillId="0" borderId="0" xfId="0" applyNumberFormat="1"/>
    <xf numFmtId="49" fontId="0" fillId="0" borderId="10" xfId="0" applyNumberFormat="1" applyBorder="1"/>
    <xf numFmtId="49" fontId="0" fillId="0" borderId="2" xfId="0" applyNumberFormat="1" applyBorder="1"/>
    <xf numFmtId="49" fontId="0" fillId="0" borderId="5" xfId="0" applyNumberFormat="1" applyBorder="1"/>
    <xf numFmtId="49" fontId="0" fillId="0" borderId="23" xfId="0" applyNumberFormat="1" applyBorder="1"/>
    <xf numFmtId="1" fontId="0" fillId="0" borderId="21" xfId="0" applyNumberFormat="1" applyBorder="1" applyAlignment="1">
      <alignment horizontal="center"/>
    </xf>
    <xf numFmtId="1" fontId="0" fillId="0" borderId="50" xfId="0" applyNumberFormat="1" applyBorder="1" applyAlignment="1">
      <alignment horizontal="center"/>
    </xf>
    <xf numFmtId="0" fontId="0" fillId="0" borderId="0" xfId="0" applyAlignment="1">
      <alignment horizontal="center"/>
    </xf>
    <xf numFmtId="0" fontId="0" fillId="0" borderId="48" xfId="0" applyBorder="1" applyAlignment="1">
      <alignment horizontal="center"/>
    </xf>
    <xf numFmtId="0" fontId="0" fillId="10" borderId="1" xfId="0" applyFont="1" applyFill="1" applyBorder="1"/>
    <xf numFmtId="0" fontId="0" fillId="0" borderId="65" xfId="0" applyBorder="1" applyAlignment="1">
      <alignment horizontal="center"/>
    </xf>
    <xf numFmtId="1" fontId="0" fillId="0" borderId="47" xfId="0" applyNumberFormat="1"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52" xfId="0" applyBorder="1" applyAlignment="1">
      <alignment horizontal="center"/>
    </xf>
    <xf numFmtId="0" fontId="0" fillId="0" borderId="3" xfId="0" applyBorder="1" applyAlignment="1">
      <alignment horizont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5" xfId="0"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Fill="1" applyBorder="1" applyAlignment="1">
      <alignment horizontal="center" vertical="center"/>
    </xf>
    <xf numFmtId="0" fontId="0" fillId="0" borderId="23" xfId="0" applyFill="1" applyBorder="1" applyAlignment="1">
      <alignment horizontal="center" vertical="center"/>
    </xf>
    <xf numFmtId="0" fontId="0" fillId="0" borderId="15" xfId="0" applyBorder="1" applyAlignment="1">
      <alignment horizontal="center" vertical="center"/>
    </xf>
    <xf numFmtId="0" fontId="0" fillId="0" borderId="58" xfId="0" applyBorder="1"/>
    <xf numFmtId="0" fontId="7" fillId="5" borderId="38" xfId="0" applyFont="1" applyFill="1" applyBorder="1"/>
    <xf numFmtId="0" fontId="4" fillId="5" borderId="36" xfId="0" applyFont="1" applyFill="1" applyBorder="1"/>
    <xf numFmtId="0" fontId="4" fillId="5" borderId="37" xfId="0" applyFont="1" applyFill="1" applyBorder="1"/>
    <xf numFmtId="0" fontId="5" fillId="0" borderId="10" xfId="0" applyFont="1" applyBorder="1"/>
    <xf numFmtId="0" fontId="0" fillId="0" borderId="10" xfId="0" applyFont="1" applyBorder="1"/>
    <xf numFmtId="0" fontId="0" fillId="0" borderId="10" xfId="0" applyFont="1" applyBorder="1" applyAlignment="1">
      <alignment horizontal="center"/>
    </xf>
    <xf numFmtId="0" fontId="0" fillId="9" borderId="10" xfId="0" applyFont="1" applyFill="1" applyBorder="1" applyAlignment="1">
      <alignment horizontal="center"/>
    </xf>
    <xf numFmtId="0" fontId="5" fillId="0" borderId="2" xfId="0" applyFont="1" applyBorder="1"/>
    <xf numFmtId="0" fontId="0" fillId="0" borderId="2" xfId="0" applyFont="1" applyBorder="1"/>
    <xf numFmtId="0" fontId="0" fillId="0" borderId="2" xfId="0" applyFont="1" applyBorder="1" applyAlignment="1">
      <alignment horizontal="center"/>
    </xf>
    <xf numFmtId="0" fontId="0" fillId="9" borderId="2" xfId="0" applyFont="1" applyFill="1" applyBorder="1" applyAlignment="1">
      <alignment horizont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5" fillId="0" borderId="5" xfId="0" applyFont="1" applyBorder="1"/>
    <xf numFmtId="0" fontId="0" fillId="0" borderId="5" xfId="0" applyFont="1" applyBorder="1"/>
    <xf numFmtId="0" fontId="0" fillId="0" borderId="5" xfId="0" applyFont="1" applyBorder="1" applyAlignment="1">
      <alignment horizontal="center"/>
    </xf>
    <xf numFmtId="0" fontId="6" fillId="0" borderId="6" xfId="0" applyFont="1" applyBorder="1" applyAlignment="1">
      <alignment horizontal="left" vertical="center"/>
    </xf>
    <xf numFmtId="0" fontId="0" fillId="0" borderId="48"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2" borderId="6" xfId="0" applyFill="1" applyBorder="1" applyAlignment="1">
      <alignment horizontal="center"/>
    </xf>
    <xf numFmtId="1" fontId="0" fillId="0" borderId="52" xfId="0" applyNumberFormat="1" applyBorder="1" applyAlignment="1">
      <alignment horizontal="center"/>
    </xf>
    <xf numFmtId="1" fontId="0" fillId="0" borderId="15" xfId="0" applyNumberFormat="1" applyBorder="1" applyAlignment="1">
      <alignment horizontal="center"/>
    </xf>
    <xf numFmtId="1" fontId="0" fillId="0" borderId="13" xfId="0" applyNumberFormat="1" applyBorder="1" applyAlignment="1">
      <alignment horizontal="center"/>
    </xf>
    <xf numFmtId="1" fontId="0" fillId="0" borderId="6" xfId="0" applyNumberFormat="1" applyBorder="1" applyAlignment="1">
      <alignment horizontal="center"/>
    </xf>
    <xf numFmtId="0" fontId="0" fillId="0" borderId="0" xfId="0" applyBorder="1" applyAlignment="1">
      <alignment vertical="center" wrapText="1"/>
    </xf>
    <xf numFmtId="0" fontId="0" fillId="0" borderId="0" xfId="0" applyBorder="1" applyAlignment="1"/>
    <xf numFmtId="0" fontId="9" fillId="0" borderId="0" xfId="0" applyFont="1" applyBorder="1" applyAlignment="1">
      <alignment horizontal="center"/>
    </xf>
    <xf numFmtId="49" fontId="0" fillId="0" borderId="0" xfId="0" applyNumberFormat="1" applyBorder="1"/>
    <xf numFmtId="0" fontId="0" fillId="0" borderId="27" xfId="0" applyBorder="1"/>
    <xf numFmtId="0" fontId="0" fillId="0" borderId="28" xfId="0" applyBorder="1"/>
    <xf numFmtId="0" fontId="0" fillId="0" borderId="8" xfId="0" applyBorder="1"/>
    <xf numFmtId="0" fontId="0" fillId="0" borderId="10"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applyAlignment="1"/>
    <xf numFmtId="0" fontId="0" fillId="2" borderId="3" xfId="0" applyFill="1" applyBorder="1" applyAlignment="1">
      <alignment horizontal="center"/>
    </xf>
    <xf numFmtId="0" fontId="10" fillId="0" borderId="0" xfId="0" applyFont="1" applyAlignment="1">
      <alignment vertical="center" wrapText="1"/>
    </xf>
    <xf numFmtId="0" fontId="0" fillId="0" borderId="23" xfId="0" applyBorder="1" applyAlignment="1">
      <alignment horizontal="left"/>
    </xf>
    <xf numFmtId="0" fontId="0" fillId="0" borderId="15" xfId="0" applyBorder="1" applyAlignment="1">
      <alignment horizontal="left"/>
    </xf>
    <xf numFmtId="0" fontId="0" fillId="0" borderId="3" xfId="0" applyBorder="1" applyAlignment="1"/>
    <xf numFmtId="0" fontId="0" fillId="7" borderId="4" xfId="0" applyFont="1" applyFill="1" applyBorder="1"/>
    <xf numFmtId="0" fontId="9" fillId="11" borderId="9" xfId="0" applyFont="1" applyFill="1" applyBorder="1" applyAlignment="1">
      <alignment horizontal="center"/>
    </xf>
    <xf numFmtId="0" fontId="9" fillId="11" borderId="24" xfId="0" applyFont="1" applyFill="1" applyBorder="1" applyAlignment="1">
      <alignment horizontal="center"/>
    </xf>
    <xf numFmtId="0" fontId="9" fillId="11" borderId="29" xfId="0" applyFont="1" applyFill="1" applyBorder="1" applyAlignment="1">
      <alignment horizontal="center"/>
    </xf>
    <xf numFmtId="0" fontId="9" fillId="11" borderId="30" xfId="0" applyFont="1" applyFill="1" applyBorder="1" applyAlignment="1">
      <alignment horizontal="center"/>
    </xf>
    <xf numFmtId="0" fontId="9" fillId="11" borderId="32" xfId="0" applyFont="1" applyFill="1" applyBorder="1" applyAlignment="1">
      <alignment horizontal="center"/>
    </xf>
    <xf numFmtId="0" fontId="9" fillId="11" borderId="7" xfId="0" applyFont="1" applyFill="1" applyBorder="1" applyAlignment="1">
      <alignment horizontal="center"/>
    </xf>
    <xf numFmtId="0" fontId="8" fillId="11" borderId="29" xfId="0" applyFont="1" applyFill="1" applyBorder="1" applyAlignment="1">
      <alignment horizontal="center"/>
    </xf>
    <xf numFmtId="0" fontId="8" fillId="11" borderId="30" xfId="0" applyFont="1" applyFill="1" applyBorder="1" applyAlignment="1">
      <alignment horizontal="center"/>
    </xf>
    <xf numFmtId="0" fontId="8" fillId="11" borderId="32" xfId="0" applyFont="1" applyFill="1" applyBorder="1" applyAlignment="1">
      <alignment horizontal="center"/>
    </xf>
    <xf numFmtId="0" fontId="8" fillId="11" borderId="7" xfId="0" applyFont="1" applyFill="1" applyBorder="1" applyAlignment="1">
      <alignment horizontal="center"/>
    </xf>
    <xf numFmtId="0" fontId="8" fillId="11" borderId="9" xfId="0" applyFont="1" applyFill="1" applyBorder="1" applyAlignment="1">
      <alignment horizontal="center"/>
    </xf>
    <xf numFmtId="0" fontId="8" fillId="11" borderId="8" xfId="0" applyFont="1" applyFill="1" applyBorder="1" applyAlignment="1">
      <alignment horizontal="center"/>
    </xf>
    <xf numFmtId="1" fontId="0" fillId="0" borderId="3" xfId="0" applyNumberFormat="1" applyBorder="1" applyAlignment="1">
      <alignment horizontal="center"/>
    </xf>
    <xf numFmtId="0" fontId="10" fillId="0" borderId="0" xfId="0" applyFont="1"/>
    <xf numFmtId="0" fontId="0" fillId="0" borderId="33" xfId="0" applyBorder="1"/>
    <xf numFmtId="0" fontId="0" fillId="0" borderId="9" xfId="0" applyBorder="1"/>
    <xf numFmtId="0" fontId="0" fillId="0" borderId="2" xfId="0" applyNumberFormat="1" applyBorder="1" applyAlignment="1">
      <alignment horizontal="left"/>
    </xf>
    <xf numFmtId="49" fontId="0" fillId="0" borderId="2" xfId="0" applyNumberFormat="1" applyBorder="1" applyAlignment="1">
      <alignment horizontal="left"/>
    </xf>
    <xf numFmtId="0" fontId="0" fillId="0" borderId="33" xfId="0" applyBorder="1" applyAlignment="1">
      <alignment horizontal="left"/>
    </xf>
    <xf numFmtId="49" fontId="0" fillId="0" borderId="14" xfId="0" applyNumberFormat="1" applyBorder="1" applyAlignment="1">
      <alignment horizontal="left"/>
    </xf>
    <xf numFmtId="0" fontId="0" fillId="0" borderId="10" xfId="0" applyNumberFormat="1" applyBorder="1" applyAlignment="1">
      <alignment horizontal="left"/>
    </xf>
    <xf numFmtId="49" fontId="0" fillId="0" borderId="10" xfId="0" applyNumberFormat="1" applyBorder="1" applyAlignment="1">
      <alignment horizontal="left"/>
    </xf>
    <xf numFmtId="0" fontId="0" fillId="0" borderId="27" xfId="0" applyBorder="1" applyAlignment="1">
      <alignment horizontal="left"/>
    </xf>
    <xf numFmtId="49" fontId="0" fillId="0" borderId="12" xfId="0" applyNumberFormat="1" applyBorder="1" applyAlignment="1">
      <alignment horizontal="left"/>
    </xf>
    <xf numFmtId="0" fontId="0" fillId="0" borderId="5" xfId="0" applyNumberFormat="1" applyBorder="1" applyAlignment="1">
      <alignment horizontal="left"/>
    </xf>
    <xf numFmtId="49" fontId="0" fillId="0" borderId="5" xfId="0" applyNumberFormat="1" applyBorder="1" applyAlignment="1">
      <alignment horizontal="left"/>
    </xf>
    <xf numFmtId="0" fontId="0" fillId="0" borderId="28" xfId="0" applyBorder="1" applyAlignment="1">
      <alignment horizontal="left"/>
    </xf>
    <xf numFmtId="49" fontId="0" fillId="0" borderId="4" xfId="0" applyNumberFormat="1" applyBorder="1" applyAlignment="1">
      <alignment horizontal="left"/>
    </xf>
    <xf numFmtId="49" fontId="0" fillId="0" borderId="7" xfId="0" applyNumberFormat="1" applyBorder="1" applyAlignment="1">
      <alignment horizontal="left"/>
    </xf>
    <xf numFmtId="49" fontId="0" fillId="0" borderId="8" xfId="0" applyNumberFormat="1" applyBorder="1" applyAlignment="1">
      <alignment horizontal="left"/>
    </xf>
    <xf numFmtId="49" fontId="0" fillId="0" borderId="7" xfId="0" applyNumberFormat="1" applyFill="1" applyBorder="1" applyAlignment="1">
      <alignment horizontal="left"/>
    </xf>
    <xf numFmtId="49" fontId="0" fillId="0" borderId="26" xfId="0" applyNumberFormat="1" applyFill="1" applyBorder="1" applyAlignment="1">
      <alignment horizontal="left"/>
    </xf>
    <xf numFmtId="0" fontId="0" fillId="0" borderId="1" xfId="0" applyBorder="1" applyAlignment="1">
      <alignment horizontal="left"/>
    </xf>
    <xf numFmtId="0" fontId="0" fillId="0" borderId="3" xfId="0" applyBorder="1" applyAlignment="1">
      <alignment horizontal="left"/>
    </xf>
    <xf numFmtId="49" fontId="0" fillId="0" borderId="23" xfId="0" applyNumberFormat="1" applyBorder="1" applyAlignment="1">
      <alignment horizontal="left"/>
    </xf>
    <xf numFmtId="0" fontId="0" fillId="0" borderId="67"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49" fontId="0" fillId="0" borderId="27" xfId="0" applyNumberFormat="1" applyBorder="1" applyAlignment="1">
      <alignment horizontal="left"/>
    </xf>
    <xf numFmtId="0" fontId="0" fillId="0" borderId="4" xfId="0" applyBorder="1" applyAlignment="1">
      <alignment horizontal="left"/>
    </xf>
    <xf numFmtId="49" fontId="0" fillId="0" borderId="0" xfId="0" applyNumberFormat="1" applyAlignment="1">
      <alignment horizontal="left"/>
    </xf>
    <xf numFmtId="49" fontId="0" fillId="0" borderId="29" xfId="0" applyNumberFormat="1" applyBorder="1" applyAlignment="1">
      <alignment horizontal="left"/>
    </xf>
    <xf numFmtId="49" fontId="0" fillId="0" borderId="30" xfId="0" applyNumberForma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26" xfId="0" applyBorder="1" applyAlignment="1">
      <alignment horizontal="left"/>
    </xf>
    <xf numFmtId="0" fontId="0" fillId="0" borderId="11" xfId="0" applyBorder="1" applyAlignment="1">
      <alignment horizontal="left"/>
    </xf>
    <xf numFmtId="49" fontId="0" fillId="0" borderId="1" xfId="0" applyNumberFormat="1" applyBorder="1" applyAlignment="1">
      <alignment horizontal="left"/>
    </xf>
    <xf numFmtId="0" fontId="9" fillId="11" borderId="8" xfId="0" applyFont="1" applyFill="1" applyBorder="1" applyAlignment="1">
      <alignment horizontal="center"/>
    </xf>
    <xf numFmtId="0" fontId="8" fillId="11" borderId="42" xfId="0" applyFont="1" applyFill="1" applyBorder="1" applyAlignment="1">
      <alignment horizontal="center"/>
    </xf>
    <xf numFmtId="0" fontId="8" fillId="11" borderId="35" xfId="0" applyFont="1" applyFill="1" applyBorder="1" applyAlignment="1">
      <alignment horizontal="center"/>
    </xf>
    <xf numFmtId="0" fontId="3" fillId="11" borderId="11" xfId="0" applyFont="1" applyFill="1" applyBorder="1" applyAlignment="1">
      <alignment horizontal="center" vertical="center"/>
    </xf>
    <xf numFmtId="0" fontId="8" fillId="11" borderId="11" xfId="0" applyFont="1" applyFill="1" applyBorder="1" applyAlignment="1">
      <alignment horizontal="center"/>
    </xf>
    <xf numFmtId="0" fontId="8" fillId="11" borderId="43" xfId="0" applyFont="1" applyFill="1" applyBorder="1" applyAlignment="1">
      <alignment horizontal="center"/>
    </xf>
    <xf numFmtId="0" fontId="8" fillId="11" borderId="66" xfId="0" applyFont="1" applyFill="1" applyBorder="1" applyAlignment="1">
      <alignment horizontal="center"/>
    </xf>
    <xf numFmtId="0" fontId="8" fillId="11" borderId="56" xfId="0" applyFont="1" applyFill="1" applyBorder="1" applyAlignment="1">
      <alignment horizontal="center"/>
    </xf>
    <xf numFmtId="0" fontId="8" fillId="11" borderId="32" xfId="0" applyFont="1" applyFill="1" applyBorder="1" applyAlignment="1"/>
    <xf numFmtId="0" fontId="0" fillId="0" borderId="24" xfId="0" applyBorder="1"/>
    <xf numFmtId="0" fontId="8" fillId="11" borderId="30" xfId="0" applyFont="1" applyFill="1" applyBorder="1"/>
    <xf numFmtId="0" fontId="8" fillId="11" borderId="31" xfId="0" applyFont="1" applyFill="1" applyBorder="1"/>
    <xf numFmtId="49" fontId="0" fillId="0" borderId="16" xfId="0" applyNumberFormat="1" applyBorder="1"/>
    <xf numFmtId="49" fontId="0" fillId="0" borderId="17" xfId="0" applyNumberFormat="1" applyBorder="1"/>
    <xf numFmtId="0" fontId="8" fillId="11" borderId="62" xfId="0" applyFont="1" applyFill="1" applyBorder="1" applyAlignment="1">
      <alignment horizontal="center"/>
    </xf>
    <xf numFmtId="0" fontId="8" fillId="11" borderId="25" xfId="0" applyFont="1" applyFill="1" applyBorder="1" applyAlignment="1">
      <alignment horizontal="center"/>
    </xf>
    <xf numFmtId="0" fontId="8" fillId="11" borderId="63" xfId="0" applyFont="1" applyFill="1" applyBorder="1" applyAlignment="1">
      <alignment horizontal="center"/>
    </xf>
    <xf numFmtId="0" fontId="0" fillId="2" borderId="45" xfId="0" applyFill="1" applyBorder="1" applyAlignment="1">
      <alignment horizontal="center"/>
    </xf>
    <xf numFmtId="0" fontId="0" fillId="2" borderId="48" xfId="0" applyFill="1" applyBorder="1" applyAlignment="1">
      <alignment horizontal="center"/>
    </xf>
    <xf numFmtId="0" fontId="0" fillId="2" borderId="59" xfId="0" applyFill="1" applyBorder="1" applyAlignment="1">
      <alignment horizontal="center"/>
    </xf>
    <xf numFmtId="49" fontId="8" fillId="11" borderId="11" xfId="0" applyNumberFormat="1" applyFont="1" applyFill="1" applyBorder="1" applyAlignment="1">
      <alignment horizont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xf>
    <xf numFmtId="0" fontId="0" fillId="0" borderId="58"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64"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54" xfId="0" applyBorder="1" applyAlignment="1">
      <alignment horizontal="left" vertical="top"/>
    </xf>
    <xf numFmtId="0" fontId="0" fillId="0" borderId="1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11" borderId="24" xfId="0" applyFont="1" applyFill="1" applyBorder="1" applyAlignment="1">
      <alignment horizontal="center"/>
    </xf>
    <xf numFmtId="0" fontId="8" fillId="11" borderId="8" xfId="0" applyFont="1" applyFill="1" applyBorder="1" applyAlignment="1">
      <alignment horizontal="center"/>
    </xf>
    <xf numFmtId="0" fontId="8" fillId="11" borderId="9"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8" fillId="11" borderId="1"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55" xfId="0" applyFont="1" applyFill="1" applyBorder="1" applyAlignment="1">
      <alignment horizontal="center"/>
    </xf>
    <xf numFmtId="0" fontId="8" fillId="11" borderId="57" xfId="0" applyFont="1" applyFill="1" applyBorder="1" applyAlignment="1">
      <alignment horizontal="center"/>
    </xf>
    <xf numFmtId="0" fontId="8" fillId="11" borderId="56" xfId="0" applyFont="1" applyFill="1"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58" xfId="0" applyBorder="1" applyAlignment="1">
      <alignment horizontal="center" vertical="center" wrapText="1"/>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4" xfId="0" applyBorder="1" applyAlignment="1">
      <alignment horizontal="center" vertical="center" wrapText="1"/>
    </xf>
    <xf numFmtId="0" fontId="0" fillId="2" borderId="14" xfId="0" applyFill="1" applyBorder="1" applyAlignment="1">
      <alignment horizontal="center"/>
    </xf>
    <xf numFmtId="0" fontId="0" fillId="2" borderId="15" xfId="0" applyFill="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0" fillId="0" borderId="42"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xf>
    <xf numFmtId="0" fontId="0" fillId="0" borderId="33" xfId="0" applyBorder="1" applyAlignment="1">
      <alignment horizontal="center"/>
    </xf>
    <xf numFmtId="0" fontId="3" fillId="11" borderId="29" xfId="0" applyFont="1" applyFill="1" applyBorder="1" applyAlignment="1">
      <alignment horizontal="center" vertical="center"/>
    </xf>
    <xf numFmtId="0" fontId="3" fillId="11" borderId="31" xfId="0" applyFont="1" applyFill="1" applyBorder="1" applyAlignment="1">
      <alignment horizontal="center" vertical="center"/>
    </xf>
    <xf numFmtId="0" fontId="0" fillId="0" borderId="45" xfId="0" applyBorder="1" applyAlignment="1">
      <alignment horizontal="center"/>
    </xf>
    <xf numFmtId="0" fontId="0" fillId="0" borderId="48" xfId="0" applyBorder="1" applyAlignment="1">
      <alignment horizont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0" borderId="40" xfId="0" applyBorder="1" applyAlignment="1">
      <alignment horizontal="center"/>
    </xf>
    <xf numFmtId="0" fontId="0" fillId="0" borderId="54" xfId="0" applyBorder="1" applyAlignment="1">
      <alignment horizontal="center"/>
    </xf>
    <xf numFmtId="0" fontId="2" fillId="11" borderId="7" xfId="0" applyFont="1" applyFill="1" applyBorder="1" applyAlignment="1">
      <alignment horizontal="center" vertical="center"/>
    </xf>
    <xf numFmtId="0" fontId="2" fillId="11" borderId="26" xfId="0" applyFont="1"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8" fillId="11" borderId="7" xfId="0" applyFont="1" applyFill="1"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0" fillId="0" borderId="56"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8" fillId="11" borderId="43" xfId="0" applyFont="1" applyFill="1" applyBorder="1" applyAlignment="1">
      <alignment horizontal="center"/>
    </xf>
    <xf numFmtId="0" fontId="8" fillId="11" borderId="58" xfId="0" applyFont="1" applyFill="1" applyBorder="1" applyAlignment="1">
      <alignment horizontal="center"/>
    </xf>
    <xf numFmtId="0" fontId="10" fillId="0" borderId="0" xfId="0" applyFont="1" applyBorder="1" applyAlignment="1">
      <alignment horizontal="center" wrapText="1"/>
    </xf>
    <xf numFmtId="0" fontId="0" fillId="0" borderId="0" xfId="0"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0" borderId="1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8" fillId="11" borderId="26" xfId="0" applyFont="1" applyFill="1" applyBorder="1" applyAlignment="1">
      <alignment horizontal="center"/>
    </xf>
    <xf numFmtId="0" fontId="0" fillId="0" borderId="67" xfId="0" applyBorder="1" applyAlignment="1">
      <alignment horizontal="center"/>
    </xf>
    <xf numFmtId="0" fontId="10" fillId="0" borderId="44" xfId="0" applyFont="1" applyBorder="1" applyAlignment="1">
      <alignment horizontal="center" vertical="center" wrapText="1"/>
    </xf>
    <xf numFmtId="0" fontId="10" fillId="0" borderId="0" xfId="0" applyFont="1" applyAlignment="1">
      <alignment horizontal="center" vertical="center" wrapText="1"/>
    </xf>
    <xf numFmtId="0" fontId="0" fillId="0" borderId="68" xfId="0" applyBorder="1" applyAlignment="1">
      <alignment horizontal="center"/>
    </xf>
    <xf numFmtId="0" fontId="8" fillId="11" borderId="29" xfId="0" applyFont="1" applyFill="1" applyBorder="1" applyAlignment="1">
      <alignment horizontal="center"/>
    </xf>
    <xf numFmtId="0" fontId="8" fillId="11" borderId="32" xfId="0" applyFont="1" applyFill="1" applyBorder="1" applyAlignment="1">
      <alignment horizontal="center"/>
    </xf>
    <xf numFmtId="0" fontId="3" fillId="11" borderId="7"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9" xfId="0" applyFont="1" applyFill="1" applyBorder="1" applyAlignment="1">
      <alignment horizontal="center" vertical="center"/>
    </xf>
    <xf numFmtId="0" fontId="8" fillId="11" borderId="44" xfId="0" applyFont="1" applyFill="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12" xfId="0" applyFont="1" applyBorder="1" applyAlignment="1">
      <alignment horizontal="center"/>
    </xf>
    <xf numFmtId="0" fontId="0" fillId="0" borderId="10" xfId="0" applyFont="1" applyBorder="1" applyAlignment="1">
      <alignment horizontal="center"/>
    </xf>
    <xf numFmtId="0" fontId="0" fillId="0" borderId="13" xfId="0" applyFont="1" applyBorder="1" applyAlignment="1">
      <alignment horizontal="center"/>
    </xf>
    <xf numFmtId="0" fontId="0" fillId="7" borderId="7" xfId="0" applyFill="1" applyBorder="1" applyAlignment="1">
      <alignment horizontal="center" vertical="center"/>
    </xf>
    <xf numFmtId="0" fontId="0" fillId="7" borderId="9" xfId="0"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9" fillId="11" borderId="7" xfId="0" applyFont="1" applyFill="1" applyBorder="1" applyAlignment="1">
      <alignment horizontal="center"/>
    </xf>
    <xf numFmtId="0" fontId="9" fillId="11" borderId="8" xfId="0" applyFont="1" applyFill="1" applyBorder="1" applyAlignment="1">
      <alignment horizontal="center"/>
    </xf>
    <xf numFmtId="0" fontId="9" fillId="11" borderId="9" xfId="0" applyFont="1" applyFill="1" applyBorder="1" applyAlignment="1">
      <alignment horizontal="center"/>
    </xf>
    <xf numFmtId="0" fontId="0" fillId="0" borderId="59" xfId="0" applyBorder="1" applyAlignment="1">
      <alignment horizontal="center"/>
    </xf>
    <xf numFmtId="0" fontId="0" fillId="0" borderId="22" xfId="0" applyBorder="1" applyAlignment="1">
      <alignment horizontal="center"/>
    </xf>
    <xf numFmtId="0" fontId="0" fillId="0" borderId="60" xfId="0" applyBorder="1" applyAlignment="1">
      <alignment horizontal="center"/>
    </xf>
    <xf numFmtId="0" fontId="0" fillId="0" borderId="53" xfId="0" applyBorder="1" applyAlignment="1">
      <alignment horizontal="center"/>
    </xf>
    <xf numFmtId="0" fontId="0" fillId="0" borderId="61" xfId="0" applyBorder="1" applyAlignment="1">
      <alignment horizontal="center"/>
    </xf>
    <xf numFmtId="0" fontId="8" fillId="11" borderId="60" xfId="0" applyFont="1" applyFill="1" applyBorder="1" applyAlignment="1">
      <alignment horizontal="center"/>
    </xf>
    <xf numFmtId="0" fontId="8" fillId="11" borderId="53" xfId="0" applyFont="1" applyFill="1" applyBorder="1" applyAlignment="1">
      <alignment horizontal="center"/>
    </xf>
    <xf numFmtId="0" fontId="8" fillId="11" borderId="61" xfId="0" applyFont="1" applyFill="1" applyBorder="1" applyAlignment="1">
      <alignment horizontal="center"/>
    </xf>
    <xf numFmtId="0" fontId="0" fillId="0" borderId="41" xfId="0" applyBorder="1" applyAlignment="1">
      <alignment horizontal="center"/>
    </xf>
    <xf numFmtId="0" fontId="0" fillId="0" borderId="24" xfId="0" applyBorder="1" applyAlignment="1">
      <alignment horizontal="center"/>
    </xf>
    <xf numFmtId="0" fontId="0" fillId="0" borderId="8" xfId="0" applyBorder="1" applyAlignment="1">
      <alignment horizont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58" xfId="0" applyFont="1" applyBorder="1" applyAlignment="1">
      <alignment horizontal="center" vertical="center"/>
    </xf>
    <xf numFmtId="0" fontId="0" fillId="0" borderId="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32" xfId="0" applyFont="1" applyFill="1" applyBorder="1" applyAlignment="1">
      <alignment horizont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9" fillId="0" borderId="56" xfId="0" applyFont="1" applyBorder="1" applyAlignment="1">
      <alignment horizontal="center" vertical="center"/>
    </xf>
    <xf numFmtId="49" fontId="0" fillId="0" borderId="26" xfId="0" applyNumberFormat="1" applyBorder="1" applyAlignment="1">
      <alignment horizontal="left"/>
    </xf>
    <xf numFmtId="49" fontId="0" fillId="0" borderId="57" xfId="0" applyNumberFormat="1" applyBorder="1" applyAlignment="1">
      <alignment horizontal="left"/>
    </xf>
    <xf numFmtId="49" fontId="0" fillId="0" borderId="31" xfId="0" applyNumberFormat="1" applyBorder="1" applyAlignment="1">
      <alignment horizontal="left"/>
    </xf>
    <xf numFmtId="49" fontId="0" fillId="0" borderId="44" xfId="0" applyNumberFormat="1" applyBorder="1" applyAlignment="1">
      <alignment horizontal="left"/>
    </xf>
    <xf numFmtId="0" fontId="0" fillId="10" borderId="0" xfId="0" applyFont="1" applyFill="1" applyBorder="1"/>
    <xf numFmtId="0" fontId="0" fillId="7" borderId="0" xfId="0" applyFont="1" applyFill="1" applyBorder="1"/>
    <xf numFmtId="0" fontId="0" fillId="7" borderId="0" xfId="0" applyFill="1" applyBorder="1"/>
    <xf numFmtId="0" fontId="0" fillId="7" borderId="0" xfId="0" applyFill="1" applyBorder="1" applyAlignment="1">
      <alignment horizontal="center"/>
    </xf>
    <xf numFmtId="0" fontId="0" fillId="7" borderId="0" xfId="0" applyFill="1"/>
    <xf numFmtId="0" fontId="0" fillId="0" borderId="44" xfId="0" applyBorder="1" applyAlignment="1">
      <alignment horizontal="center"/>
    </xf>
    <xf numFmtId="0" fontId="0" fillId="0" borderId="58" xfId="0" applyBorder="1" applyAlignment="1">
      <alignment horizontal="center"/>
    </xf>
  </cellXfs>
  <cellStyles count="1">
    <cellStyle name="Normal" xfId="0" builtinId="0"/>
  </cellStyles>
  <dxfs count="56">
    <dxf>
      <fill>
        <patternFill>
          <bgColor theme="6" tint="0.39994506668294322"/>
        </patternFill>
      </fill>
    </dxf>
    <dxf>
      <fill>
        <patternFill>
          <bgColor theme="7"/>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val="0"/>
        <i val="0"/>
        <strike val="0"/>
        <condense val="0"/>
        <extend val="0"/>
        <outline val="0"/>
        <shadow val="0"/>
        <u val="none"/>
        <vertAlign val="baseline"/>
        <sz val="11"/>
        <color rgb="FF000000"/>
        <name val="Courier New"/>
        <family val="3"/>
        <scheme val="none"/>
      </font>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242021"/>
        <name val="ACaslonPro-Regular"/>
        <scheme val="none"/>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0"/>
        <name val="Calibri"/>
        <family val="2"/>
        <scheme val="minor"/>
      </font>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8EE6FC-22DE-440B-AF8F-59D3CCB55DB5}" name="Tableau2" displayName="Tableau2" ref="AQ11:BR75" totalsRowShown="0" headerRowDxfId="55" dataDxfId="54" tableBorderDxfId="53">
  <autoFilter ref="AQ11:BR75" xr:uid="{758EE6FC-22DE-440B-AF8F-59D3CCB55DB5}"/>
  <tableColumns count="28">
    <tableColumn id="1" xr3:uid="{1E9D760C-0BE9-4A08-80D8-6AA0F58828C0}" name="Colonne1" dataDxfId="52"/>
    <tableColumn id="2" xr3:uid="{4EA7CF01-7C5D-45EE-B77D-24A3390134AE}" name="Colonne2" dataDxfId="51"/>
    <tableColumn id="3" xr3:uid="{779F7B82-06FC-4F6B-A382-31A7D977D1A1}" name="Classe" dataDxfId="50"/>
    <tableColumn id="4" xr3:uid="{513ABD98-2EF0-44DA-81A4-C33F07BCE8E9}" name="Rang" dataDxfId="49"/>
    <tableColumn id="5" xr3:uid="{51757CDC-ED10-4D52-8003-706431FB4DB1}" name="influence" dataDxfId="48"/>
    <tableColumn id="6" xr3:uid="{3FABDAA0-C7CD-429E-89CC-A7096C136A09}" name="CC" dataDxfId="47"/>
    <tableColumn id="7" xr3:uid="{DB567A27-1F29-4AEC-A474-7428DFAEFE85}" name="CT" dataDxfId="46"/>
    <tableColumn id="8" xr3:uid="{25C7EC25-A324-47CD-A698-36CC76C21E3D}" name="For" dataDxfId="45"/>
    <tableColumn id="9" xr3:uid="{76C4841B-0506-4F48-B7C3-6C10CB9C89B1}" name="End" dataDxfId="44"/>
    <tableColumn id="10" xr3:uid="{BA133BAC-1096-4D61-8BA1-76BDA6E5C5E5}" name="Agi" dataDxfId="43"/>
    <tableColumn id="11" xr3:uid="{D6238297-E1D6-4B40-AE3C-19B4A3BFD6E1}" name="Ini" dataDxfId="42"/>
    <tableColumn id="12" xr3:uid="{A28F58FA-A11C-4E75-823C-975AAA2D1E6D}" name="Dex" dataDxfId="41"/>
    <tableColumn id="13" xr3:uid="{D0575530-E03A-4E0D-BBB1-C5F29C2B61EF}" name="Int" dataDxfId="40"/>
    <tableColumn id="14" xr3:uid="{7ADED87D-B582-4659-AD63-BA38092E70C6}" name="FM" dataDxfId="39"/>
    <tableColumn id="15" xr3:uid="{F482BF44-2950-4220-966B-98617F08184C}" name="Soc" dataDxfId="38"/>
    <tableColumn id="16" xr3:uid="{458CBE57-47A0-4360-A517-12660C21BF1C}" name="TALENT 1" dataDxfId="37"/>
    <tableColumn id="17" xr3:uid="{35A7FE48-3DD8-4500-BF4C-15F2ACD3C410}" name="TALENT 2" dataDxfId="36"/>
    <tableColumn id="18" xr3:uid="{6A8D18E7-858C-418F-9C3C-8C4C90164966}" name="TALENT 3" dataDxfId="35"/>
    <tableColumn id="19" xr3:uid="{76B0F803-3E3A-431E-8FB6-6F51C257AB04}" name="TALENT 4" dataDxfId="34"/>
    <tableColumn id="20" xr3:uid="{93565E0B-F6F3-4835-90DA-72FBA98BFC85}" name="Competence 1" dataDxfId="33"/>
    <tableColumn id="21" xr3:uid="{055FC2A7-6AC9-4025-961E-DF2609FF3846}" name="Competence 2" dataDxfId="32"/>
    <tableColumn id="22" xr3:uid="{B87D87D6-49A8-47A9-976B-212F01C4225A}" name="Competence 3" dataDxfId="31"/>
    <tableColumn id="23" xr3:uid="{E5E6450D-D5BF-4768-AAFE-DEB50A9E4998}" name="Competence 4" dataDxfId="30"/>
    <tableColumn id="24" xr3:uid="{73193877-94FB-4340-A30C-A565F15A70BC}" name="Competence 5" dataDxfId="29"/>
    <tableColumn id="25" xr3:uid="{FF83BD78-A9AF-4A4D-8F7F-5C0D8CE19F07}" name="Competence 6" dataDxfId="28"/>
    <tableColumn id="26" xr3:uid="{0A24D3CD-1990-400E-AAC0-29BC18271A64}" name="Competence 7" dataDxfId="27"/>
    <tableColumn id="27" xr3:uid="{0BFA9B4D-4E5B-4484-9142-121EADADB7A8}" name="Competence 8" dataDxfId="26"/>
    <tableColumn id="28" xr3:uid="{2F4342D9-9927-41F0-82F4-0273417019D0}" name="Gear" dataDxfId="25"/>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73E0-943B-44C9-9BB2-E0F1ABDD9867}">
  <dimension ref="B1:J18"/>
  <sheetViews>
    <sheetView tabSelected="1" workbookViewId="0">
      <selection activeCell="E24" sqref="E24"/>
    </sheetView>
  </sheetViews>
  <sheetFormatPr baseColWidth="10" defaultRowHeight="15"/>
  <cols>
    <col min="10" max="10" width="26.140625" customWidth="1"/>
  </cols>
  <sheetData>
    <row r="1" spans="2:10" ht="15.75" thickBot="1"/>
    <row r="2" spans="2:10">
      <c r="B2" s="307" t="s">
        <v>848</v>
      </c>
      <c r="C2" s="308"/>
      <c r="D2" s="308"/>
      <c r="E2" s="308"/>
      <c r="F2" s="308"/>
      <c r="G2" s="308"/>
      <c r="H2" s="308"/>
      <c r="I2" s="308"/>
      <c r="J2" s="309"/>
    </row>
    <row r="3" spans="2:10" ht="15.75" thickBot="1">
      <c r="B3" s="310"/>
      <c r="C3" s="311"/>
      <c r="D3" s="311"/>
      <c r="E3" s="311"/>
      <c r="F3" s="311"/>
      <c r="G3" s="311"/>
      <c r="H3" s="311"/>
      <c r="I3" s="311"/>
      <c r="J3" s="312"/>
    </row>
    <row r="4" spans="2:10" ht="15.75" thickBot="1"/>
    <row r="5" spans="2:10">
      <c r="B5" s="313" t="s">
        <v>881</v>
      </c>
      <c r="C5" s="314"/>
      <c r="D5" s="314"/>
      <c r="E5" s="314"/>
      <c r="F5" s="314"/>
      <c r="G5" s="314"/>
      <c r="H5" s="314"/>
      <c r="I5" s="314"/>
      <c r="J5" s="315"/>
    </row>
    <row r="6" spans="2:10">
      <c r="B6" s="316"/>
      <c r="C6" s="317"/>
      <c r="D6" s="317"/>
      <c r="E6" s="317"/>
      <c r="F6" s="317"/>
      <c r="G6" s="317"/>
      <c r="H6" s="317"/>
      <c r="I6" s="317"/>
      <c r="J6" s="318"/>
    </row>
    <row r="7" spans="2:10">
      <c r="B7" s="316"/>
      <c r="C7" s="317"/>
      <c r="D7" s="317"/>
      <c r="E7" s="317"/>
      <c r="F7" s="317"/>
      <c r="G7" s="317"/>
      <c r="H7" s="317"/>
      <c r="I7" s="317"/>
      <c r="J7" s="318"/>
    </row>
    <row r="8" spans="2:10">
      <c r="B8" s="316"/>
      <c r="C8" s="317"/>
      <c r="D8" s="317"/>
      <c r="E8" s="317"/>
      <c r="F8" s="317"/>
      <c r="G8" s="317"/>
      <c r="H8" s="317"/>
      <c r="I8" s="317"/>
      <c r="J8" s="318"/>
    </row>
    <row r="9" spans="2:10">
      <c r="B9" s="316"/>
      <c r="C9" s="317"/>
      <c r="D9" s="317"/>
      <c r="E9" s="317"/>
      <c r="F9" s="317"/>
      <c r="G9" s="317"/>
      <c r="H9" s="317"/>
      <c r="I9" s="317"/>
      <c r="J9" s="318"/>
    </row>
    <row r="10" spans="2:10">
      <c r="B10" s="316"/>
      <c r="C10" s="317"/>
      <c r="D10" s="317"/>
      <c r="E10" s="317"/>
      <c r="F10" s="317"/>
      <c r="G10" s="317"/>
      <c r="H10" s="317"/>
      <c r="I10" s="317"/>
      <c r="J10" s="318"/>
    </row>
    <row r="11" spans="2:10">
      <c r="B11" s="316"/>
      <c r="C11" s="317"/>
      <c r="D11" s="317"/>
      <c r="E11" s="317"/>
      <c r="F11" s="317"/>
      <c r="G11" s="317"/>
      <c r="H11" s="317"/>
      <c r="I11" s="317"/>
      <c r="J11" s="318"/>
    </row>
    <row r="12" spans="2:10">
      <c r="B12" s="316"/>
      <c r="C12" s="317"/>
      <c r="D12" s="317"/>
      <c r="E12" s="317"/>
      <c r="F12" s="317"/>
      <c r="G12" s="317"/>
      <c r="H12" s="317"/>
      <c r="I12" s="317"/>
      <c r="J12" s="318"/>
    </row>
    <row r="13" spans="2:10">
      <c r="B13" s="316"/>
      <c r="C13" s="317"/>
      <c r="D13" s="317"/>
      <c r="E13" s="317"/>
      <c r="F13" s="317"/>
      <c r="G13" s="317"/>
      <c r="H13" s="317"/>
      <c r="I13" s="317"/>
      <c r="J13" s="318"/>
    </row>
    <row r="14" spans="2:10">
      <c r="B14" s="316"/>
      <c r="C14" s="317"/>
      <c r="D14" s="317"/>
      <c r="E14" s="317"/>
      <c r="F14" s="317"/>
      <c r="G14" s="317"/>
      <c r="H14" s="317"/>
      <c r="I14" s="317"/>
      <c r="J14" s="318"/>
    </row>
    <row r="15" spans="2:10">
      <c r="B15" s="316"/>
      <c r="C15" s="317"/>
      <c r="D15" s="317"/>
      <c r="E15" s="317"/>
      <c r="F15" s="317"/>
      <c r="G15" s="317"/>
      <c r="H15" s="317"/>
      <c r="I15" s="317"/>
      <c r="J15" s="318"/>
    </row>
    <row r="16" spans="2:10" ht="372.75" customHeight="1" thickBot="1">
      <c r="B16" s="319"/>
      <c r="C16" s="320"/>
      <c r="D16" s="320"/>
      <c r="E16" s="320"/>
      <c r="F16" s="320"/>
      <c r="G16" s="320"/>
      <c r="H16" s="320"/>
      <c r="I16" s="320"/>
      <c r="J16" s="321"/>
    </row>
    <row r="18" spans="2:2">
      <c r="B18" t="s">
        <v>882</v>
      </c>
    </row>
  </sheetData>
  <mergeCells count="2">
    <mergeCell ref="B2:J3"/>
    <mergeCell ref="B5: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B2C8-4203-4F2B-9604-AAC2371DE979}">
  <dimension ref="A1:U95"/>
  <sheetViews>
    <sheetView topLeftCell="A11" zoomScale="115" zoomScaleNormal="115" workbookViewId="0">
      <selection activeCell="H14" sqref="H14"/>
    </sheetView>
  </sheetViews>
  <sheetFormatPr baseColWidth="10" defaultColWidth="7" defaultRowHeight="15"/>
  <cols>
    <col min="1" max="1" width="9.140625" bestFit="1" customWidth="1"/>
    <col min="5" max="5" width="8.7109375" customWidth="1"/>
    <col min="6" max="6" width="7" customWidth="1"/>
    <col min="7" max="7" width="8.140625" style="27" bestFit="1" customWidth="1"/>
    <col min="8" max="8" width="9.85546875" customWidth="1"/>
    <col min="9" max="9" width="8.28515625" style="152" bestFit="1" customWidth="1"/>
    <col min="10" max="10" width="10.7109375" customWidth="1"/>
    <col min="11" max="11" width="9.5703125" customWidth="1"/>
    <col min="12" max="12" width="7.140625" customWidth="1"/>
    <col min="13" max="13" width="29.5703125" bestFit="1" customWidth="1"/>
    <col min="14" max="14" width="8.28515625" customWidth="1"/>
    <col min="16" max="16" width="8.7109375" customWidth="1"/>
    <col min="17" max="17" width="8.140625" customWidth="1"/>
    <col min="18" max="18" width="8.42578125" style="49" bestFit="1" customWidth="1"/>
    <col min="19" max="19" width="9.7109375" bestFit="1" customWidth="1"/>
  </cols>
  <sheetData>
    <row r="1" spans="1:21" ht="15.75" thickBot="1">
      <c r="G1" s="68"/>
      <c r="R1" s="68"/>
    </row>
    <row r="2" spans="1:21" s="3" customFormat="1" ht="27" customHeight="1" thickBot="1">
      <c r="B2" s="380" t="s">
        <v>13</v>
      </c>
      <c r="C2" s="381"/>
      <c r="D2" s="382" t="s">
        <v>0</v>
      </c>
      <c r="E2" s="383"/>
      <c r="G2" s="372" t="s">
        <v>158</v>
      </c>
      <c r="H2" s="373"/>
      <c r="I2" s="376" t="s">
        <v>64</v>
      </c>
      <c r="J2" s="377"/>
      <c r="M2" s="289" t="s">
        <v>16</v>
      </c>
      <c r="N2" s="70"/>
      <c r="O2" s="332" t="s">
        <v>501</v>
      </c>
      <c r="P2" s="333"/>
      <c r="Q2" s="70"/>
      <c r="R2" s="70"/>
      <c r="S2" s="70"/>
      <c r="T2" s="70"/>
      <c r="U2" s="70"/>
    </row>
    <row r="3" spans="1:21" ht="15.75" thickBot="1">
      <c r="G3" s="388" t="s">
        <v>195</v>
      </c>
      <c r="H3" s="389"/>
      <c r="I3" s="378" t="str">
        <f>CONCATENATE(VLOOKUP('Feuille Personnage'!I2,BD!AQ12:AT75,4,FALSE)," ",VLOOKUP('Feuille Personnage'!I2,BD!AQ12:AU75,5,FALSE))</f>
        <v>Argent 2</v>
      </c>
      <c r="J3" s="379"/>
      <c r="M3" s="80" t="s">
        <v>694</v>
      </c>
      <c r="O3" s="334"/>
      <c r="P3" s="335"/>
    </row>
    <row r="4" spans="1:21" ht="15.75" thickBot="1">
      <c r="G4" s="385" t="s">
        <v>399</v>
      </c>
      <c r="H4" s="386"/>
      <c r="I4" s="385" t="str">
        <f ca="1">VLOOKUP(VLOOKUP(I2,BD!AQ12:AT75,4,FALSE),Caracteristique!A65:F67,4,FALSE)</f>
        <v>11 PA</v>
      </c>
      <c r="J4" s="387"/>
      <c r="M4" s="74" t="str">
        <f>Caracteristique!A20</f>
        <v>Agi</v>
      </c>
      <c r="O4" s="348" t="s">
        <v>4</v>
      </c>
      <c r="P4" s="349"/>
    </row>
    <row r="5" spans="1:21" ht="15.75" thickBot="1">
      <c r="M5" s="72" t="str">
        <f>Caracteristique!A21</f>
        <v>For</v>
      </c>
      <c r="O5" s="328" t="s">
        <v>6</v>
      </c>
      <c r="P5" s="329"/>
    </row>
    <row r="6" spans="1:21" s="1" customFormat="1" ht="15.75" thickBot="1">
      <c r="B6" s="243" t="s">
        <v>3</v>
      </c>
      <c r="C6" s="286" t="s">
        <v>4</v>
      </c>
      <c r="D6" s="286" t="s">
        <v>6</v>
      </c>
      <c r="E6" s="286" t="s">
        <v>5</v>
      </c>
      <c r="F6" s="286" t="s">
        <v>7</v>
      </c>
      <c r="G6" s="286" t="s">
        <v>8</v>
      </c>
      <c r="H6" s="286" t="s">
        <v>9</v>
      </c>
      <c r="I6" s="286" t="s">
        <v>10</v>
      </c>
      <c r="J6" s="286" t="s">
        <v>11</v>
      </c>
      <c r="K6" s="238" t="s">
        <v>12</v>
      </c>
      <c r="M6" s="72" t="str">
        <f>Caracteristique!A22</f>
        <v>CC</v>
      </c>
      <c r="O6" s="328" t="s">
        <v>5</v>
      </c>
      <c r="P6" s="329"/>
      <c r="R6" s="49"/>
    </row>
    <row r="7" spans="1:21" s="1" customFormat="1" ht="15.75" thickBot="1">
      <c r="A7" s="79" t="s">
        <v>14</v>
      </c>
      <c r="B7" s="92">
        <f ca="1">VLOOKUP(B6,Caracteristique!$A$20:$D$29,4,FALSE)</f>
        <v>34</v>
      </c>
      <c r="C7" s="93">
        <f ca="1">VLOOKUP(C6,Caracteristique!$A$20:$D$29,4,FALSE)</f>
        <v>34</v>
      </c>
      <c r="D7" s="93">
        <f ca="1">VLOOKUP(D6,Caracteristique!$A$20:$D$29,4,FALSE)</f>
        <v>34</v>
      </c>
      <c r="E7" s="93">
        <f ca="1">VLOOKUP(E6,Caracteristique!$A$20:$D$29,4,FALSE)</f>
        <v>31</v>
      </c>
      <c r="F7" s="93">
        <f ca="1">VLOOKUP(F6,Caracteristique!$A$20:$D$29,4,FALSE)</f>
        <v>37</v>
      </c>
      <c r="G7" s="93">
        <f ca="1">VLOOKUP(G6,Caracteristique!$A$20:$D$29,4,FALSE)</f>
        <v>32</v>
      </c>
      <c r="H7" s="93">
        <f ca="1">VLOOKUP(H6,Caracteristique!$A$20:$D$29,4,FALSE)</f>
        <v>29</v>
      </c>
      <c r="I7" s="93">
        <f ca="1">VLOOKUP(I6,Caracteristique!$A$20:$D$29,4,FALSE)</f>
        <v>28</v>
      </c>
      <c r="J7" s="93">
        <f ca="1">VLOOKUP(J6,Caracteristique!$A$20:$D$29,4,FALSE)</f>
        <v>26</v>
      </c>
      <c r="K7" s="94">
        <f ca="1">VLOOKUP(K6,Caracteristique!$A$20:$D$29,4,FALSE)</f>
        <v>31</v>
      </c>
      <c r="M7" s="72" t="str">
        <f>Caracteristique!A23</f>
        <v>CT</v>
      </c>
      <c r="O7" s="328" t="s">
        <v>11</v>
      </c>
      <c r="P7" s="329"/>
      <c r="R7" s="49"/>
    </row>
    <row r="8" spans="1:21" s="27" customFormat="1">
      <c r="A8" s="90" t="s">
        <v>160</v>
      </c>
      <c r="B8" s="83">
        <f ca="1">IF(COUNTIF(M23:P27,"Guerrier né")&gt;0,5,0)</f>
        <v>0</v>
      </c>
      <c r="C8" s="88">
        <f ca="1">IF(COUNTIF(M23:P27,"Tireur de précision")&gt;0,5,0)</f>
        <v>5</v>
      </c>
      <c r="D8" s="88">
        <f ca="1">IF(COUNTIF(M23:P27,"Très fort")&gt;0,5,0)</f>
        <v>0</v>
      </c>
      <c r="E8" s="88">
        <f ca="1">IF(COUNTIF(M23:P27,"Très résistant")&gt;0,5,0)</f>
        <v>0</v>
      </c>
      <c r="F8" s="88">
        <f ca="1">IF(COUNTIF(M23:P27,"Réflexes foudroyants")&gt;0,5,0)</f>
        <v>0</v>
      </c>
      <c r="G8" s="88">
        <f ca="1">IF(COUNTIF(M23:P27,"Vivacité")&gt;0,5,0)</f>
        <v>0</v>
      </c>
      <c r="H8" s="88">
        <f ca="1">IF(COUNTIF(M23:P27,"Doigts de fée")&gt;0,5,0)</f>
        <v>0</v>
      </c>
      <c r="I8" s="145">
        <f ca="1">IF(COUNTIF(M23:P27,"Intelligent")&gt;0,5,0)</f>
        <v>5</v>
      </c>
      <c r="J8" s="88">
        <f ca="1">IF(COUNTIF(M23:P27,"Impertubable")&gt;0,5,0)</f>
        <v>0</v>
      </c>
      <c r="K8" s="84">
        <f ca="1">IF(COUNTIF(M23:P27,"Charmant")&gt;0,5,0)</f>
        <v>0</v>
      </c>
      <c r="M8" s="72" t="str">
        <f>Caracteristique!A24</f>
        <v>Ini</v>
      </c>
      <c r="O8" s="328" t="s">
        <v>7</v>
      </c>
      <c r="P8" s="329"/>
      <c r="R8" s="49"/>
    </row>
    <row r="9" spans="1:21" s="27" customFormat="1" ht="15.75" thickBot="1">
      <c r="A9" s="78" t="s">
        <v>847</v>
      </c>
      <c r="B9" s="85">
        <f>VLOOKUP(I2,BD!AQ11:BE75,6,FALSE)</f>
        <v>1</v>
      </c>
      <c r="C9" s="87">
        <f>VLOOKUP(I2,BD!AQ11:BE75,7,FALSE)</f>
        <v>2</v>
      </c>
      <c r="D9" s="87">
        <f>VLOOKUP(I2,BD!AQ11:BE75,8,FALSE)</f>
        <v>1</v>
      </c>
      <c r="E9" s="87">
        <f>VLOOKUP(I2,BD!AQ11:BE75,9,FALSE)</f>
        <v>0</v>
      </c>
      <c r="F9" s="87">
        <f>VLOOKUP(I2,BD!AQ11:BE75,10,FALSE)</f>
        <v>1</v>
      </c>
      <c r="G9" s="87">
        <f>VLOOKUP(I2,BD!AQ11:BE75,11,FALSE)</f>
        <v>3</v>
      </c>
      <c r="H9" s="87">
        <f>VLOOKUP(I2,BD!AQ11:BE75,12,FALSE)</f>
        <v>0</v>
      </c>
      <c r="I9" s="150">
        <f>VLOOKUP(I2,BD!AQ11:BE75,13,FALSE)</f>
        <v>0</v>
      </c>
      <c r="J9" s="87">
        <f>VLOOKUP(I2,BD!AQ11:BE75,14,FALSE)</f>
        <v>0</v>
      </c>
      <c r="K9" s="86">
        <f>VLOOKUP(I2,BD!AQ11:BE75,15,FALSE)</f>
        <v>4</v>
      </c>
      <c r="M9" s="72" t="str">
        <f>Caracteristique!A25</f>
        <v>Soc</v>
      </c>
      <c r="O9" s="328" t="s">
        <v>9</v>
      </c>
      <c r="P9" s="329"/>
      <c r="R9" s="49"/>
    </row>
    <row r="10" spans="1:21" s="49" customFormat="1" ht="15.75" thickBot="1">
      <c r="A10" s="69" t="s">
        <v>188</v>
      </c>
      <c r="B10" s="99">
        <f t="shared" ref="B10:K10" ca="1" si="0">IF($D$3="Basique",SUM(B7:B8),IF(B9=1,SUM(B7:B8)+5,SUM(B7:B8)))</f>
        <v>39</v>
      </c>
      <c r="C10" s="58">
        <f t="shared" ca="1" si="0"/>
        <v>39</v>
      </c>
      <c r="D10" s="58">
        <f t="shared" ca="1" si="0"/>
        <v>39</v>
      </c>
      <c r="E10" s="58">
        <f t="shared" ca="1" si="0"/>
        <v>31</v>
      </c>
      <c r="F10" s="58">
        <f t="shared" ca="1" si="0"/>
        <v>42</v>
      </c>
      <c r="G10" s="58">
        <f t="shared" ca="1" si="0"/>
        <v>32</v>
      </c>
      <c r="H10" s="58">
        <f t="shared" ca="1" si="0"/>
        <v>29</v>
      </c>
      <c r="I10" s="58">
        <f t="shared" ca="1" si="0"/>
        <v>33</v>
      </c>
      <c r="J10" s="58">
        <f t="shared" ca="1" si="0"/>
        <v>26</v>
      </c>
      <c r="K10" s="100">
        <f t="shared" ca="1" si="0"/>
        <v>31</v>
      </c>
      <c r="M10" s="72" t="str">
        <f>Caracteristique!A26</f>
        <v>End</v>
      </c>
      <c r="O10" s="328" t="s">
        <v>10</v>
      </c>
      <c r="P10" s="329"/>
    </row>
    <row r="11" spans="1:21" ht="15.75" thickBot="1">
      <c r="M11" s="72" t="str">
        <f>Caracteristique!A27</f>
        <v>Dex</v>
      </c>
      <c r="O11" s="328" t="s">
        <v>3</v>
      </c>
      <c r="P11" s="329"/>
    </row>
    <row r="12" spans="1:21" ht="15.75" thickBot="1">
      <c r="B12" s="247" t="s">
        <v>17</v>
      </c>
      <c r="C12" s="249" t="s">
        <v>22</v>
      </c>
      <c r="D12" s="249" t="s">
        <v>19</v>
      </c>
      <c r="E12" s="249" t="s">
        <v>696</v>
      </c>
      <c r="F12" s="249" t="s">
        <v>412</v>
      </c>
      <c r="G12" s="248" t="s">
        <v>427</v>
      </c>
      <c r="H12" s="287" t="s">
        <v>698</v>
      </c>
      <c r="J12" s="390" t="str">
        <f>CONCATENATE("Point bonus : ",VLOOKUP(D2,BD!D2:Q6,14,FALSE))</f>
        <v>Point bonus : 3</v>
      </c>
      <c r="K12" s="391"/>
      <c r="M12" s="72" t="str">
        <f>Caracteristique!A28</f>
        <v>Int</v>
      </c>
      <c r="O12" s="328" t="s">
        <v>8</v>
      </c>
      <c r="P12" s="329"/>
    </row>
    <row r="13" spans="1:21" ht="15.75" thickBot="1">
      <c r="A13" s="95" t="s">
        <v>14</v>
      </c>
      <c r="B13" s="99">
        <f>Caracteristique!F14</f>
        <v>2</v>
      </c>
      <c r="C13" s="58">
        <f>Caracteristique!F15</f>
        <v>1</v>
      </c>
      <c r="D13" s="58">
        <f>Caracteristique!F17</f>
        <v>4</v>
      </c>
      <c r="E13" s="58">
        <f ca="1">ROUNDDOWN(D10/10,0)+ROUNDDOWN(E10/10,0)*2+ROUNDDOWN(J10/10,0)</f>
        <v>11</v>
      </c>
      <c r="F13" s="58">
        <f>B15</f>
        <v>3</v>
      </c>
      <c r="G13" s="100">
        <f ca="1">ROUNDDOWN(D10/10,0)+ROUNDDOWN(E10/10,0)</f>
        <v>6</v>
      </c>
      <c r="H13" s="71">
        <f>C15</f>
        <v>3</v>
      </c>
      <c r="J13" s="144" t="s">
        <v>17</v>
      </c>
      <c r="K13" s="232">
        <v>1</v>
      </c>
      <c r="M13" s="73" t="str">
        <f>Caracteristique!A29</f>
        <v>FM</v>
      </c>
      <c r="O13" s="330" t="s">
        <v>12</v>
      </c>
      <c r="P13" s="331"/>
    </row>
    <row r="14" spans="1:21" ht="15.75" thickBot="1">
      <c r="A14" s="95" t="s">
        <v>160</v>
      </c>
      <c r="B14" s="92">
        <f>K13</f>
        <v>1</v>
      </c>
      <c r="C14" s="93">
        <f>K14</f>
        <v>2</v>
      </c>
      <c r="D14" s="93">
        <f ca="1">IF(COUNTIF(M23:P27,"Véloce")&gt;0,1,0)</f>
        <v>0</v>
      </c>
      <c r="E14" s="93">
        <f ca="1">IF(COUNTIF(M23:P27,"Dur à cuire")&gt;0,ROUNDDOWN(E10/10,0),0)</f>
        <v>0</v>
      </c>
      <c r="F14" s="93">
        <f ca="1">IF(COUNTIF(M23:P27,"Chanceux)")&gt;0,1,0)</f>
        <v>0</v>
      </c>
      <c r="G14" s="94">
        <f ca="1">IF(COUNTIF(M23:P27,"Costaud")&gt;0,2,0)</f>
        <v>0</v>
      </c>
      <c r="H14" s="71">
        <v>0</v>
      </c>
      <c r="J14" s="155" t="s">
        <v>22</v>
      </c>
      <c r="K14" s="215">
        <v>2</v>
      </c>
    </row>
    <row r="15" spans="1:21" ht="15.75" thickBot="1">
      <c r="A15" s="71" t="s">
        <v>188</v>
      </c>
      <c r="B15" s="81">
        <f>SUM(B13:B14)</f>
        <v>3</v>
      </c>
      <c r="C15" s="82">
        <f t="shared" ref="C15:H15" si="1">SUM(C13:C14)</f>
        <v>3</v>
      </c>
      <c r="D15" s="82">
        <f t="shared" ca="1" si="1"/>
        <v>4</v>
      </c>
      <c r="E15" s="82">
        <f t="shared" ca="1" si="1"/>
        <v>11</v>
      </c>
      <c r="F15" s="82">
        <f t="shared" ca="1" si="1"/>
        <v>3</v>
      </c>
      <c r="G15" s="91">
        <f t="shared" ca="1" si="1"/>
        <v>6</v>
      </c>
      <c r="H15" s="161">
        <f t="shared" si="1"/>
        <v>3</v>
      </c>
      <c r="I15" s="392" t="str">
        <f>IF(SUM(K13:K14)&gt;VLOOKUP(D2,BD!D2:Q6,14,FALSE),CONCATENATE("Total des points bonus doit être inferieur à ",VLOOKUP(D2,BD!D2:Q6,14,FALSE)),"")</f>
        <v/>
      </c>
      <c r="J15" s="392"/>
      <c r="K15" s="392"/>
      <c r="L15" s="392"/>
    </row>
    <row r="16" spans="1:21" ht="15.75" thickBot="1">
      <c r="I16" s="392"/>
      <c r="J16" s="392"/>
      <c r="K16" s="392"/>
      <c r="L16" s="392"/>
      <c r="M16" s="336" t="s">
        <v>733</v>
      </c>
      <c r="N16" s="337"/>
      <c r="O16" s="338"/>
    </row>
    <row r="17" spans="2:16" ht="15.75" thickBot="1">
      <c r="B17" s="384" t="s">
        <v>76</v>
      </c>
      <c r="C17" s="326"/>
      <c r="D17" s="326"/>
      <c r="E17" s="327"/>
      <c r="F17" s="291" t="s">
        <v>129</v>
      </c>
      <c r="G17" s="247" t="s">
        <v>14</v>
      </c>
      <c r="H17" s="249" t="s">
        <v>670</v>
      </c>
      <c r="I17" s="306" t="s">
        <v>695</v>
      </c>
      <c r="J17" s="290" t="s">
        <v>188</v>
      </c>
      <c r="M17" s="102" t="s">
        <v>428</v>
      </c>
      <c r="N17" s="359" t="str">
        <f ca="1">CONCATENATE(VLOOKUP(D2,BD!D2:DA6,99,FALSE)," cm")</f>
        <v>169 cm</v>
      </c>
      <c r="O17" s="360"/>
    </row>
    <row r="18" spans="2:16">
      <c r="B18" s="363" t="s">
        <v>71</v>
      </c>
      <c r="C18" s="364"/>
      <c r="D18" s="364"/>
      <c r="E18" s="365"/>
      <c r="F18" s="157" t="str">
        <f>VLOOKUP(B18,BD!$T$12:$U$36,2,FALSE)</f>
        <v>Dex</v>
      </c>
      <c r="G18" s="144">
        <f ca="1">VLOOKUP('Feuille Personnage'!F18,Caracteristique!$J$3:$L$12,3,FALSE)</f>
        <v>29</v>
      </c>
      <c r="H18" s="145" t="str">
        <f>IF(COUNTIF($N$39:$P$46,B18)&gt;0,5,"")</f>
        <v/>
      </c>
      <c r="I18" s="163">
        <f>_xlfn.XLOOKUP(B18,$M$39:$M$50,$L$39:$L$50,0)</f>
        <v>0</v>
      </c>
      <c r="J18" s="142">
        <f ca="1">SUM(G18:I18)</f>
        <v>29</v>
      </c>
      <c r="M18" s="103" t="s">
        <v>429</v>
      </c>
      <c r="N18" s="361" t="str">
        <f ca="1">CONCATENATE(VLOOKUP(D2,BD!D2:DA6,100,FALSE)," ans")</f>
        <v>23 ans</v>
      </c>
      <c r="O18" s="358"/>
    </row>
    <row r="19" spans="2:16" ht="15" customHeight="1">
      <c r="B19" s="361" t="s">
        <v>130</v>
      </c>
      <c r="C19" s="357" t="s">
        <v>130</v>
      </c>
      <c r="D19" s="357" t="s">
        <v>130</v>
      </c>
      <c r="E19" s="358"/>
      <c r="F19" s="158" t="str">
        <f>VLOOKUP(B19,BD!$T$12:$U$36,2,FALSE)</f>
        <v>Agi</v>
      </c>
      <c r="G19" s="146">
        <f ca="1">VLOOKUP('Feuille Personnage'!F19,Caracteristique!$J$3:$L$12,3,FALSE)</f>
        <v>42</v>
      </c>
      <c r="H19" s="147" t="str">
        <f t="shared" ref="H19:H42" si="2">IF(COUNTIF($N$39:$P$46,B19)&gt;0,5,"")</f>
        <v/>
      </c>
      <c r="I19" s="148">
        <f>_xlfn.XLOOKUP(B19,$M$39:$M$50,$L$39:$L$50,0)</f>
        <v>0</v>
      </c>
      <c r="J19" s="137">
        <f t="shared" ref="J19:J55" ca="1" si="3">SUM(G19:I19)</f>
        <v>42</v>
      </c>
      <c r="M19" s="103" t="s">
        <v>499</v>
      </c>
      <c r="N19" s="361" t="str">
        <f ca="1">VLOOKUP(D2,BD!D2:DA6,101,FALSE)</f>
        <v>Noisette</v>
      </c>
      <c r="O19" s="358"/>
    </row>
    <row r="20" spans="2:16" ht="15" customHeight="1" thickBot="1">
      <c r="B20" s="361" t="s">
        <v>127</v>
      </c>
      <c r="C20" s="357" t="s">
        <v>127</v>
      </c>
      <c r="D20" s="357" t="s">
        <v>127</v>
      </c>
      <c r="E20" s="358"/>
      <c r="F20" s="158" t="str">
        <f>VLOOKUP(B20,BD!$T$12:$U$36,2,FALSE)</f>
        <v>FM</v>
      </c>
      <c r="G20" s="146">
        <f ca="1">VLOOKUP('Feuille Personnage'!F20,Caracteristique!$J$3:$L$12,3,FALSE)</f>
        <v>26</v>
      </c>
      <c r="H20" s="147" t="str">
        <f t="shared" si="2"/>
        <v/>
      </c>
      <c r="I20" s="148">
        <f>_xlfn.XLOOKUP(B20,$M$39:$M$50,$L$39:$L$50,0)</f>
        <v>5</v>
      </c>
      <c r="J20" s="137">
        <f t="shared" ca="1" si="3"/>
        <v>31</v>
      </c>
      <c r="M20" s="78" t="s">
        <v>500</v>
      </c>
      <c r="N20" s="362" t="str">
        <f ca="1">VLOOKUP(D2,BD!D2:DA6,102,FALSE)</f>
        <v>Auburn</v>
      </c>
      <c r="O20" s="324"/>
    </row>
    <row r="21" spans="2:16" ht="15" customHeight="1" thickBot="1">
      <c r="B21" s="361" t="s">
        <v>131</v>
      </c>
      <c r="C21" s="357" t="s">
        <v>131</v>
      </c>
      <c r="D21" s="357" t="s">
        <v>131</v>
      </c>
      <c r="E21" s="358"/>
      <c r="F21" s="158" t="str">
        <f>VLOOKUP(B21,BD!$T$12:$U$36,2,FALSE)</f>
        <v>Int</v>
      </c>
      <c r="G21" s="146">
        <f ca="1">VLOOKUP('Feuille Personnage'!F21,Caracteristique!$J$3:$L$12,3,FALSE)</f>
        <v>33</v>
      </c>
      <c r="H21" s="147" t="str">
        <f t="shared" si="2"/>
        <v/>
      </c>
      <c r="I21" s="148">
        <f t="shared" ref="I21:I42" si="4">_xlfn.XLOOKUP(B21,$M$39:$M$50,$L$39:$L$50,0)</f>
        <v>0</v>
      </c>
      <c r="J21" s="137">
        <f t="shared" ca="1" si="3"/>
        <v>33</v>
      </c>
    </row>
    <row r="22" spans="2:16" ht="15" customHeight="1" thickBot="1">
      <c r="B22" s="361" t="s">
        <v>132</v>
      </c>
      <c r="C22" s="357" t="s">
        <v>132</v>
      </c>
      <c r="D22" s="357" t="s">
        <v>132</v>
      </c>
      <c r="E22" s="358"/>
      <c r="F22" s="158" t="str">
        <f>VLOOKUP(B22,BD!$T$12:$U$36,2,FALSE)</f>
        <v>Soc</v>
      </c>
      <c r="G22" s="146">
        <f ca="1">VLOOKUP('Feuille Personnage'!F22,Caracteristique!$J$3:$L$12,3,FALSE)</f>
        <v>31</v>
      </c>
      <c r="H22" s="147" t="str">
        <f t="shared" si="2"/>
        <v/>
      </c>
      <c r="I22" s="148">
        <f t="shared" si="4"/>
        <v>5</v>
      </c>
      <c r="J22" s="137">
        <f t="shared" ca="1" si="3"/>
        <v>36</v>
      </c>
      <c r="M22" s="287" t="s">
        <v>297</v>
      </c>
      <c r="N22" s="336" t="s">
        <v>299</v>
      </c>
      <c r="O22" s="337"/>
      <c r="P22" s="338"/>
    </row>
    <row r="23" spans="2:16" ht="15" customHeight="1">
      <c r="B23" s="361" t="s">
        <v>125</v>
      </c>
      <c r="C23" s="357" t="s">
        <v>125</v>
      </c>
      <c r="D23" s="357" t="s">
        <v>125</v>
      </c>
      <c r="E23" s="358"/>
      <c r="F23" s="158" t="str">
        <f>VLOOKUP(B23,BD!$T$12:$U$36,2,FALSE)</f>
        <v>Soc</v>
      </c>
      <c r="G23" s="146">
        <f ca="1">VLOOKUP('Feuille Personnage'!F23,Caracteristique!$J$3:$L$12,3,FALSE)</f>
        <v>31</v>
      </c>
      <c r="H23" s="147" t="str">
        <f t="shared" si="2"/>
        <v/>
      </c>
      <c r="I23" s="148">
        <f t="shared" si="4"/>
        <v>0</v>
      </c>
      <c r="J23" s="137">
        <f t="shared" ca="1" si="3"/>
        <v>31</v>
      </c>
      <c r="M23" s="20" t="str">
        <f>BD!C29</f>
        <v>Destinée</v>
      </c>
      <c r="N23" s="350" t="str">
        <f>VLOOKUP(I2,BD!AQ12:BQ75,19,FALSE)</f>
        <v>Cavalier émérite</v>
      </c>
      <c r="O23" s="350"/>
      <c r="P23" s="351"/>
    </row>
    <row r="24" spans="2:16">
      <c r="B24" s="361" t="s">
        <v>133</v>
      </c>
      <c r="C24" s="357" t="s">
        <v>133</v>
      </c>
      <c r="D24" s="357" t="s">
        <v>133</v>
      </c>
      <c r="E24" s="358"/>
      <c r="F24" s="158" t="str">
        <f>VLOOKUP(B24,BD!$T$12:$U$36,2,FALSE)</f>
        <v>Soc</v>
      </c>
      <c r="G24" s="146">
        <f ca="1">VLOOKUP('Feuille Personnage'!F24,Caracteristique!$J$3:$L$12,3,FALSE)</f>
        <v>31</v>
      </c>
      <c r="H24" s="147" t="str">
        <f t="shared" si="2"/>
        <v/>
      </c>
      <c r="I24" s="148">
        <f t="shared" si="4"/>
        <v>0</v>
      </c>
      <c r="J24" s="137">
        <f t="shared" ca="1" si="3"/>
        <v>31</v>
      </c>
      <c r="M24" s="21" t="str">
        <f>BD!C30</f>
        <v>Intelligent ou Charmant</v>
      </c>
      <c r="N24" s="352" t="str">
        <f>VLOOKUP(I2,BD!AQ12:BQ75,16,FALSE)</f>
        <v>Vigilance</v>
      </c>
      <c r="O24" s="352"/>
      <c r="P24" s="353"/>
    </row>
    <row r="25" spans="2:16" ht="15" customHeight="1">
      <c r="B25" s="361" t="s">
        <v>134</v>
      </c>
      <c r="C25" s="357" t="s">
        <v>134</v>
      </c>
      <c r="D25" s="357" t="s">
        <v>134</v>
      </c>
      <c r="E25" s="358"/>
      <c r="F25" s="158" t="str">
        <f>VLOOKUP(B25,BD!$T$12:$U$36,2,FALSE)</f>
        <v>Agi</v>
      </c>
      <c r="G25" s="146">
        <f ca="1">VLOOKUP('Feuille Personnage'!F25,Caracteristique!$J$3:$L$12,3,FALSE)</f>
        <v>42</v>
      </c>
      <c r="H25" s="147" t="str">
        <f t="shared" si="2"/>
        <v/>
      </c>
      <c r="I25" s="148">
        <f t="shared" si="4"/>
        <v>0</v>
      </c>
      <c r="J25" s="137">
        <f t="shared" ca="1" si="3"/>
        <v>42</v>
      </c>
      <c r="M25" s="21" t="str">
        <f ca="1">BD!C31</f>
        <v>Ton Parfait</v>
      </c>
      <c r="N25" s="352" t="str">
        <f>VLOOKUP(I2,BD!AQ12:BQ75,17,FALSE)</f>
        <v>Claquer le fouet</v>
      </c>
      <c r="O25" s="352"/>
      <c r="P25" s="353"/>
    </row>
    <row r="26" spans="2:16" ht="15" customHeight="1">
      <c r="B26" s="361" t="s">
        <v>135</v>
      </c>
      <c r="C26" s="357" t="s">
        <v>135</v>
      </c>
      <c r="D26" s="357" t="s">
        <v>135</v>
      </c>
      <c r="E26" s="358"/>
      <c r="F26" s="158" t="str">
        <f>VLOOKUP(B26,BD!$T$12:$U$36,2,FALSE)</f>
        <v>Soc</v>
      </c>
      <c r="G26" s="146">
        <f ca="1">VLOOKUP('Feuille Personnage'!F26,Caracteristique!$J$3:$L$12,3,FALSE)</f>
        <v>31</v>
      </c>
      <c r="H26" s="147" t="str">
        <f t="shared" si="2"/>
        <v/>
      </c>
      <c r="I26" s="148">
        <f t="shared" si="4"/>
        <v>0</v>
      </c>
      <c r="J26" s="137">
        <f t="shared" ca="1" si="3"/>
        <v>31</v>
      </c>
      <c r="M26" s="21" t="str">
        <f ca="1">BD!C32</f>
        <v>Tireur de précision</v>
      </c>
      <c r="N26" s="352" t="str">
        <f>VLOOKUP(I2,BD!AQ12:BQ75,18,FALSE)</f>
        <v>Réflexes foudroyant</v>
      </c>
      <c r="O26" s="352"/>
      <c r="P26" s="353"/>
    </row>
    <row r="27" spans="2:16" ht="15" customHeight="1" thickBot="1">
      <c r="B27" s="361" t="s">
        <v>136</v>
      </c>
      <c r="C27" s="357" t="s">
        <v>136</v>
      </c>
      <c r="D27" s="357" t="s">
        <v>136</v>
      </c>
      <c r="E27" s="358"/>
      <c r="F27" s="158" t="str">
        <f>VLOOKUP(B27,BD!$T$12:$U$36,2,FALSE)</f>
        <v>Agi</v>
      </c>
      <c r="G27" s="146">
        <f ca="1">VLOOKUP('Feuille Personnage'!F27,Caracteristique!$J$3:$L$12,3,FALSE)</f>
        <v>42</v>
      </c>
      <c r="H27" s="147" t="str">
        <f t="shared" si="2"/>
        <v/>
      </c>
      <c r="I27" s="148">
        <f t="shared" si="4"/>
        <v>0</v>
      </c>
      <c r="J27" s="137">
        <f t="shared" ca="1" si="3"/>
        <v>42</v>
      </c>
      <c r="M27" s="21" t="str">
        <f ca="1">BD!C33</f>
        <v>Intelligent</v>
      </c>
      <c r="N27" s="354"/>
      <c r="O27" s="354"/>
      <c r="P27" s="355"/>
    </row>
    <row r="28" spans="2:16" ht="15" customHeight="1" thickBot="1">
      <c r="B28" s="361" t="s">
        <v>187</v>
      </c>
      <c r="C28" s="357" t="s">
        <v>73</v>
      </c>
      <c r="D28" s="357" t="s">
        <v>73</v>
      </c>
      <c r="E28" s="358"/>
      <c r="F28" s="158" t="str">
        <f>VLOOKUP(B28,BD!$T$12:$U$36,2,FALSE)</f>
        <v>Soc</v>
      </c>
      <c r="G28" s="146">
        <f ca="1">VLOOKUP('Feuille Personnage'!F28,Caracteristique!$J$3:$L$12,3,FALSE)</f>
        <v>31</v>
      </c>
      <c r="H28" s="147" t="str">
        <f t="shared" si="2"/>
        <v/>
      </c>
      <c r="I28" s="148">
        <f t="shared" si="4"/>
        <v>0</v>
      </c>
      <c r="J28" s="137">
        <f t="shared" ca="1" si="3"/>
        <v>31</v>
      </c>
      <c r="M28" s="22" t="str">
        <f>BD!C34</f>
        <v/>
      </c>
    </row>
    <row r="29" spans="2:16" ht="15" customHeight="1" thickBot="1">
      <c r="B29" s="361" t="s">
        <v>144</v>
      </c>
      <c r="C29" s="357" t="s">
        <v>144</v>
      </c>
      <c r="D29" s="357" t="s">
        <v>144</v>
      </c>
      <c r="E29" s="358"/>
      <c r="F29" s="158" t="str">
        <f>VLOOKUP(B29,BD!$T$12:$U$36,2,FALSE)</f>
        <v>FM</v>
      </c>
      <c r="G29" s="146">
        <f ca="1">VLOOKUP('Feuille Personnage'!F29,Caracteristique!$J$3:$L$12,3,FALSE)</f>
        <v>26</v>
      </c>
      <c r="H29" s="147">
        <f t="shared" si="2"/>
        <v>5</v>
      </c>
      <c r="I29" s="148">
        <f t="shared" si="4"/>
        <v>0</v>
      </c>
      <c r="J29" s="137">
        <f t="shared" ca="1" si="3"/>
        <v>31</v>
      </c>
      <c r="M29" s="288" t="str">
        <f>CONCATENATE("Equipement ",VLOOKUP(I2,Tableau2[[Colonne1]:[Colonne2]],2,FALSE))</f>
        <v>Equipement Guerriers</v>
      </c>
      <c r="N29" s="336" t="s">
        <v>510</v>
      </c>
      <c r="O29" s="337"/>
      <c r="P29" s="338"/>
    </row>
    <row r="30" spans="2:16">
      <c r="B30" s="361" t="s">
        <v>685</v>
      </c>
      <c r="C30" s="357" t="s">
        <v>137</v>
      </c>
      <c r="D30" s="357" t="s">
        <v>137</v>
      </c>
      <c r="E30" s="358"/>
      <c r="F30" s="158" t="str">
        <f>VLOOKUP(B30,BD!$T$12:$U$36,2,FALSE)</f>
        <v>Agi</v>
      </c>
      <c r="G30" s="146">
        <f ca="1">VLOOKUP('Feuille Personnage'!F30,Caracteristique!$J$3:$L$12,3,FALSE)</f>
        <v>42</v>
      </c>
      <c r="H30" s="147">
        <f t="shared" si="2"/>
        <v>5</v>
      </c>
      <c r="I30" s="148">
        <f t="shared" si="4"/>
        <v>0</v>
      </c>
      <c r="J30" s="137">
        <f t="shared" ca="1" si="3"/>
        <v>47</v>
      </c>
      <c r="M30" s="367" t="str">
        <f>VLOOKUP(VLOOKUP(I2,Tableau2[[Colonne1]:[Colonne2]],2,FALSE),BD!AH12:AI19,2,FALSE)</f>
        <v>Vêtements, Arme de poing, Dague, Bourse</v>
      </c>
      <c r="N30" s="339" t="str">
        <f>VLOOKUP('Feuille Personnage'!I2,BD!AQ11:BR75,28,FALSE)</f>
        <v>Arme de poing, Veste de cuir , Cheval avec selle et fonte</v>
      </c>
      <c r="O30" s="340"/>
      <c r="P30" s="341"/>
    </row>
    <row r="31" spans="2:16" ht="15" customHeight="1">
      <c r="B31" s="361" t="s">
        <v>72</v>
      </c>
      <c r="C31" s="357" t="s">
        <v>72</v>
      </c>
      <c r="D31" s="357" t="s">
        <v>72</v>
      </c>
      <c r="E31" s="358"/>
      <c r="F31" s="158" t="str">
        <f>VLOOKUP(B31,BD!$T$12:$U$36,2,FALSE)</f>
        <v>For</v>
      </c>
      <c r="G31" s="146">
        <f ca="1">VLOOKUP('Feuille Personnage'!F31,Caracteristique!$J$3:$L$12,3,FALSE)</f>
        <v>39</v>
      </c>
      <c r="H31" s="147" t="str">
        <f t="shared" si="2"/>
        <v/>
      </c>
      <c r="I31" s="148">
        <f t="shared" si="4"/>
        <v>0</v>
      </c>
      <c r="J31" s="137">
        <f t="shared" ca="1" si="3"/>
        <v>39</v>
      </c>
      <c r="M31" s="368"/>
      <c r="N31" s="342"/>
      <c r="O31" s="343"/>
      <c r="P31" s="344"/>
    </row>
    <row r="32" spans="2:16" ht="15" customHeight="1">
      <c r="B32" s="361" t="s">
        <v>138</v>
      </c>
      <c r="C32" s="357" t="s">
        <v>138</v>
      </c>
      <c r="D32" s="357" t="s">
        <v>138</v>
      </c>
      <c r="E32" s="358"/>
      <c r="F32" s="158" t="str">
        <f>VLOOKUP(B32,BD!$T$12:$U$36,2,FALSE)</f>
        <v>Agi</v>
      </c>
      <c r="G32" s="146">
        <f ca="1">VLOOKUP('Feuille Personnage'!F32,Caracteristique!$J$3:$L$12,3,FALSE)</f>
        <v>42</v>
      </c>
      <c r="H32" s="147" t="str">
        <f t="shared" si="2"/>
        <v/>
      </c>
      <c r="I32" s="148">
        <f t="shared" si="4"/>
        <v>0</v>
      </c>
      <c r="J32" s="137">
        <f t="shared" ca="1" si="3"/>
        <v>42</v>
      </c>
      <c r="M32" s="368"/>
      <c r="N32" s="342"/>
      <c r="O32" s="343"/>
      <c r="P32" s="344"/>
    </row>
    <row r="33" spans="2:16" ht="15" customHeight="1">
      <c r="B33" s="361" t="s">
        <v>139</v>
      </c>
      <c r="C33" s="357" t="s">
        <v>139</v>
      </c>
      <c r="D33" s="357" t="s">
        <v>139</v>
      </c>
      <c r="E33" s="358"/>
      <c r="F33" s="158" t="str">
        <f>VLOOKUP(B33,BD!$T$12:$U$36,2,FALSE)</f>
        <v>For</v>
      </c>
      <c r="G33" s="146">
        <f ca="1">VLOOKUP('Feuille Personnage'!F33,Caracteristique!$J$3:$L$12,3,FALSE)</f>
        <v>39</v>
      </c>
      <c r="H33" s="147" t="str">
        <f t="shared" si="2"/>
        <v/>
      </c>
      <c r="I33" s="148">
        <f t="shared" si="4"/>
        <v>0</v>
      </c>
      <c r="J33" s="137">
        <f t="shared" ca="1" si="3"/>
        <v>39</v>
      </c>
      <c r="M33" s="368"/>
      <c r="N33" s="342"/>
      <c r="O33" s="343"/>
      <c r="P33" s="344"/>
    </row>
    <row r="34" spans="2:16" ht="15" customHeight="1">
      <c r="B34" s="361" t="s">
        <v>74</v>
      </c>
      <c r="C34" s="357" t="s">
        <v>74</v>
      </c>
      <c r="D34" s="357" t="s">
        <v>74</v>
      </c>
      <c r="E34" s="358"/>
      <c r="F34" s="158" t="str">
        <f>VLOOKUP(B34,BD!$T$12:$U$36,2,FALSE)</f>
        <v>Ini</v>
      </c>
      <c r="G34" s="146">
        <f ca="1">VLOOKUP('Feuille Personnage'!F34,Caracteristique!$J$3:$L$12,3,FALSE)</f>
        <v>32</v>
      </c>
      <c r="H34" s="147" t="str">
        <f t="shared" si="2"/>
        <v/>
      </c>
      <c r="I34" s="148">
        <f t="shared" si="4"/>
        <v>0</v>
      </c>
      <c r="J34" s="137">
        <f t="shared" ca="1" si="3"/>
        <v>32</v>
      </c>
      <c r="M34" s="368"/>
      <c r="N34" s="342"/>
      <c r="O34" s="343"/>
      <c r="P34" s="344"/>
    </row>
    <row r="35" spans="2:16" ht="15" customHeight="1">
      <c r="B35" s="361" t="s">
        <v>140</v>
      </c>
      <c r="C35" s="357" t="s">
        <v>140</v>
      </c>
      <c r="D35" s="357" t="s">
        <v>140</v>
      </c>
      <c r="E35" s="358"/>
      <c r="F35" s="158" t="str">
        <f>VLOOKUP(B35,BD!$T$12:$U$36,2,FALSE)</f>
        <v>Int</v>
      </c>
      <c r="G35" s="146">
        <f ca="1">VLOOKUP('Feuille Personnage'!F35,Caracteristique!$J$3:$L$12,3,FALSE)</f>
        <v>33</v>
      </c>
      <c r="H35" s="147" t="str">
        <f t="shared" si="2"/>
        <v/>
      </c>
      <c r="I35" s="148">
        <f t="shared" si="4"/>
        <v>0</v>
      </c>
      <c r="J35" s="137">
        <f t="shared" ca="1" si="3"/>
        <v>33</v>
      </c>
      <c r="M35" s="368"/>
      <c r="N35" s="342"/>
      <c r="O35" s="343"/>
      <c r="P35" s="344"/>
    </row>
    <row r="36" spans="2:16" ht="15" customHeight="1" thickBot="1">
      <c r="B36" s="361" t="s">
        <v>126</v>
      </c>
      <c r="C36" s="357" t="s">
        <v>126</v>
      </c>
      <c r="D36" s="357" t="s">
        <v>126</v>
      </c>
      <c r="E36" s="358"/>
      <c r="F36" s="158" t="str">
        <f>VLOOKUP(B36,BD!$T$12:$U$36,2,FALSE)</f>
        <v>Soc</v>
      </c>
      <c r="G36" s="146">
        <f ca="1">VLOOKUP('Feuille Personnage'!F36,Caracteristique!$J$3:$L$12,3,FALSE)</f>
        <v>31</v>
      </c>
      <c r="H36" s="147" t="str">
        <f t="shared" si="2"/>
        <v/>
      </c>
      <c r="I36" s="148">
        <f t="shared" si="4"/>
        <v>0</v>
      </c>
      <c r="J36" s="137">
        <f t="shared" ca="1" si="3"/>
        <v>31</v>
      </c>
      <c r="M36" s="369"/>
      <c r="N36" s="345"/>
      <c r="O36" s="346"/>
      <c r="P36" s="347"/>
    </row>
    <row r="37" spans="2:16" ht="15" customHeight="1" thickBot="1">
      <c r="B37" s="361" t="s">
        <v>184</v>
      </c>
      <c r="C37" s="357" t="s">
        <v>141</v>
      </c>
      <c r="D37" s="357" t="s">
        <v>141</v>
      </c>
      <c r="E37" s="358"/>
      <c r="F37" s="158" t="str">
        <f>VLOOKUP(B37,BD!$T$12:$U$36,2,FALSE)</f>
        <v>CC</v>
      </c>
      <c r="G37" s="146">
        <f ca="1">VLOOKUP('Feuille Personnage'!F37,Caracteristique!$J$3:$L$12,3,FALSE)</f>
        <v>39</v>
      </c>
      <c r="H37" s="147">
        <f t="shared" si="2"/>
        <v>5</v>
      </c>
      <c r="I37" s="148">
        <f t="shared" si="4"/>
        <v>3</v>
      </c>
      <c r="J37" s="137">
        <f t="shared" ca="1" si="3"/>
        <v>47</v>
      </c>
    </row>
    <row r="38" spans="2:16" ht="15" customHeight="1" thickBot="1">
      <c r="B38" s="361" t="s">
        <v>142</v>
      </c>
      <c r="C38" s="357" t="s">
        <v>142</v>
      </c>
      <c r="D38" s="357" t="s">
        <v>142</v>
      </c>
      <c r="E38" s="358"/>
      <c r="F38" s="158" t="str">
        <f>VLOOKUP(B38,BD!$T$12:$U$36,2,FALSE)</f>
        <v>Int</v>
      </c>
      <c r="G38" s="146">
        <f ca="1">VLOOKUP('Feuille Personnage'!F38,Caracteristique!$J$3:$L$12,3,FALSE)</f>
        <v>33</v>
      </c>
      <c r="H38" s="147" t="str">
        <f t="shared" si="2"/>
        <v/>
      </c>
      <c r="I38" s="148">
        <f t="shared" si="4"/>
        <v>0</v>
      </c>
      <c r="J38" s="137">
        <f t="shared" ca="1" si="3"/>
        <v>33</v>
      </c>
      <c r="L38" s="306" t="s">
        <v>695</v>
      </c>
      <c r="M38" s="290" t="s">
        <v>293</v>
      </c>
      <c r="N38" s="325" t="s">
        <v>298</v>
      </c>
      <c r="O38" s="326"/>
      <c r="P38" s="327"/>
    </row>
    <row r="39" spans="2:16" ht="15" customHeight="1">
      <c r="B39" s="361" t="s">
        <v>75</v>
      </c>
      <c r="C39" s="357" t="s">
        <v>75</v>
      </c>
      <c r="D39" s="357" t="s">
        <v>75</v>
      </c>
      <c r="E39" s="358"/>
      <c r="F39" s="158" t="str">
        <f>VLOOKUP(B39,BD!$T$12:$U$36,2,FALSE)</f>
        <v>Ini</v>
      </c>
      <c r="G39" s="146">
        <f ca="1">VLOOKUP('Feuille Personnage'!F39,Caracteristique!$J$3:$L$12,3,FALSE)</f>
        <v>32</v>
      </c>
      <c r="H39" s="147">
        <f t="shared" si="2"/>
        <v>5</v>
      </c>
      <c r="I39" s="148">
        <f t="shared" si="4"/>
        <v>0</v>
      </c>
      <c r="J39" s="137">
        <f t="shared" ca="1" si="3"/>
        <v>37</v>
      </c>
      <c r="L39" s="303">
        <v>5</v>
      </c>
      <c r="M39" s="20" t="str">
        <f>BD!C17</f>
        <v>Guérison des animaux</v>
      </c>
      <c r="N39" s="374" t="str">
        <f>VLOOKUP(I2,BD!AQ12:BQ75,27,FALSE)</f>
        <v>Equitation</v>
      </c>
      <c r="O39" s="350"/>
      <c r="P39" s="351"/>
    </row>
    <row r="40" spans="2:16" ht="15" customHeight="1">
      <c r="B40" s="361" t="s">
        <v>143</v>
      </c>
      <c r="C40" s="357" t="s">
        <v>143</v>
      </c>
      <c r="D40" s="357" t="s">
        <v>143</v>
      </c>
      <c r="E40" s="358"/>
      <c r="F40" s="200" t="str">
        <f>VLOOKUP(B40,BD!$T$12:$U$36,2,FALSE)</f>
        <v>End</v>
      </c>
      <c r="G40" s="146">
        <f ca="1">VLOOKUP('Feuille Personnage'!F40,Caracteristique!$J$3:$L$12,3,FALSE)</f>
        <v>31</v>
      </c>
      <c r="H40" s="147" t="str">
        <f t="shared" si="2"/>
        <v/>
      </c>
      <c r="I40" s="148">
        <f t="shared" si="4"/>
        <v>0</v>
      </c>
      <c r="J40" s="137">
        <f t="shared" ca="1" si="3"/>
        <v>31</v>
      </c>
      <c r="L40" s="304">
        <v>5</v>
      </c>
      <c r="M40" s="21" t="str">
        <f>BD!C18</f>
        <v>Charme</v>
      </c>
      <c r="N40" s="375" t="str">
        <f>VLOOKUP(I2,BD!AQ12:BQ75,20,FALSE)</f>
        <v>Guérison des animaux</v>
      </c>
      <c r="O40" s="352"/>
      <c r="P40" s="353"/>
    </row>
    <row r="41" spans="2:16" ht="15" customHeight="1">
      <c r="B41" s="361" t="s">
        <v>145</v>
      </c>
      <c r="C41" s="357" t="s">
        <v>145</v>
      </c>
      <c r="D41" s="357" t="s">
        <v>145</v>
      </c>
      <c r="E41" s="358"/>
      <c r="F41" s="158" t="str">
        <f>VLOOKUP(B41,BD!$T$12:$U$36,2,FALSE)</f>
        <v>End</v>
      </c>
      <c r="G41" s="146">
        <f ca="1">VLOOKUP('Feuille Personnage'!F41,Caracteristique!$J$3:$L$12,3,FALSE)</f>
        <v>31</v>
      </c>
      <c r="H41" s="147" t="str">
        <f t="shared" si="2"/>
        <v/>
      </c>
      <c r="I41" s="148">
        <f t="shared" si="4"/>
        <v>0</v>
      </c>
      <c r="J41" s="137">
        <f t="shared" ca="1" si="3"/>
        <v>31</v>
      </c>
      <c r="L41" s="304">
        <v>5</v>
      </c>
      <c r="M41" s="21" t="str">
        <f>BD!C19</f>
        <v>Calme</v>
      </c>
      <c r="N41" s="375" t="str">
        <f>VLOOKUP(I2,BD!AQ12:BQ75,21,FALSE)</f>
        <v>Emprise sur les animaux</v>
      </c>
      <c r="O41" s="352"/>
      <c r="P41" s="353"/>
    </row>
    <row r="42" spans="2:16" ht="15" customHeight="1" thickBot="1">
      <c r="B42" s="362" t="s">
        <v>146</v>
      </c>
      <c r="C42" s="323" t="s">
        <v>146</v>
      </c>
      <c r="D42" s="323" t="s">
        <v>146</v>
      </c>
      <c r="E42" s="324"/>
      <c r="F42" s="78" t="str">
        <f>VLOOKUP(B42,BD!$T$12:$U$36,2,FALSE)</f>
        <v>Int</v>
      </c>
      <c r="G42" s="155">
        <f ca="1">VLOOKUP('Feuille Personnage'!F42,Caracteristique!$J$3:$L$12,3,FALSE)</f>
        <v>33</v>
      </c>
      <c r="H42" s="150">
        <f t="shared" si="2"/>
        <v>5</v>
      </c>
      <c r="I42" s="151">
        <f t="shared" si="4"/>
        <v>0</v>
      </c>
      <c r="J42" s="216">
        <f t="shared" ca="1" si="3"/>
        <v>38</v>
      </c>
      <c r="L42" s="304">
        <v>3</v>
      </c>
      <c r="M42" s="21" t="str">
        <f>BD!C20</f>
        <v>Evaluation</v>
      </c>
      <c r="N42" s="375" t="str">
        <f>VLOOKUP(I2,BD!AQ12:BQ75,22,FALSE)</f>
        <v>Endurance</v>
      </c>
      <c r="O42" s="352"/>
      <c r="P42" s="353"/>
    </row>
    <row r="43" spans="2:16" ht="15.75" thickBot="1">
      <c r="B43" s="393"/>
      <c r="C43" s="393"/>
      <c r="D43" s="393"/>
      <c r="G43" s="58"/>
      <c r="H43" s="101"/>
      <c r="J43" s="136"/>
      <c r="L43" s="304">
        <v>0</v>
      </c>
      <c r="M43" s="21" t="str">
        <f>BD!C21</f>
        <v>Commérages</v>
      </c>
      <c r="N43" s="356" t="str">
        <f>VLOOKUP(I2,BD!AQ12:BQ75,23,FALSE)</f>
        <v>Langue (Bataille)</v>
      </c>
      <c r="O43" s="357"/>
      <c r="P43" s="358"/>
    </row>
    <row r="44" spans="2:16" ht="15.75" thickBot="1">
      <c r="B44" s="384" t="s">
        <v>151</v>
      </c>
      <c r="C44" s="326"/>
      <c r="D44" s="326"/>
      <c r="E44" s="405"/>
      <c r="F44" s="290" t="s">
        <v>129</v>
      </c>
      <c r="G44" s="292" t="s">
        <v>14</v>
      </c>
      <c r="H44" s="245" t="s">
        <v>670</v>
      </c>
      <c r="I44" s="306" t="s">
        <v>695</v>
      </c>
      <c r="J44" s="293" t="s">
        <v>188</v>
      </c>
      <c r="L44" s="304">
        <v>0</v>
      </c>
      <c r="M44" s="21" t="str">
        <f>BD!C22</f>
        <v>Marchandage</v>
      </c>
      <c r="N44" s="356" t="str">
        <f>VLOOKUP(I2,BD!AQ12:BQ75,24,FALSE)</f>
        <v>Mêlée (base)</v>
      </c>
      <c r="O44" s="357"/>
      <c r="P44" s="358"/>
    </row>
    <row r="45" spans="2:16">
      <c r="B45" s="359" t="str">
        <f>Caracteristique!V3</f>
        <v>Guérison des animaux</v>
      </c>
      <c r="C45" s="370"/>
      <c r="D45" s="370"/>
      <c r="E45" s="371"/>
      <c r="F45" s="141" t="str">
        <f>VLOOKUP(B45,BD!$W$12:$X$98,2,FALSE)</f>
        <v>Int</v>
      </c>
      <c r="G45" s="144">
        <f ca="1">VLOOKUP('Feuille Personnage'!F45,Caracteristique!$J$3:$L$12,3,FALSE)</f>
        <v>33</v>
      </c>
      <c r="H45" s="145">
        <f>IF(COUNTIF($N$39:$P$46,B45)&gt;0,5,"")</f>
        <v>5</v>
      </c>
      <c r="I45" s="163">
        <f>_xlfn.XLOOKUP(B45,$M$39:$M$50,$L$39:$L$50,"0")</f>
        <v>5</v>
      </c>
      <c r="J45" s="142">
        <f t="shared" ca="1" si="3"/>
        <v>43</v>
      </c>
      <c r="L45" s="304">
        <v>0</v>
      </c>
      <c r="M45" s="21" t="str">
        <f>BD!C23</f>
        <v>Langue (Bretonnien)</v>
      </c>
      <c r="N45" s="356" t="str">
        <f>VLOOKUP(I2,BD!AQ12:BQ75,25,FALSE)</f>
        <v>Survie en extérieur</v>
      </c>
      <c r="O45" s="357"/>
      <c r="P45" s="358"/>
    </row>
    <row r="46" spans="2:16" ht="15.75" thickBot="1">
      <c r="B46" s="361" t="str">
        <f>Caracteristique!V4</f>
        <v>Evaluation</v>
      </c>
      <c r="C46" s="357"/>
      <c r="D46" s="357"/>
      <c r="E46" s="366"/>
      <c r="F46" s="139" t="str">
        <f>VLOOKUP(B46,BD!$W$12:$X$98,2,FALSE)</f>
        <v>Int</v>
      </c>
      <c r="G46" s="146">
        <f ca="1">VLOOKUP('Feuille Personnage'!F46,Caracteristique!$J$3:$L$12,3,FALSE)</f>
        <v>33</v>
      </c>
      <c r="H46" s="147" t="str">
        <f t="shared" ref="H46:H55" si="5">IF(COUNTIF($N$39:$P$46,B46)&gt;0,5,"")</f>
        <v/>
      </c>
      <c r="I46" s="148">
        <f t="shared" ref="I46:I55" si="6">_xlfn.XLOOKUP(B46,$M$39:$M$50,$L$39:$L$50,"0")</f>
        <v>3</v>
      </c>
      <c r="J46" s="137">
        <f t="shared" ca="1" si="3"/>
        <v>36</v>
      </c>
      <c r="L46" s="304">
        <v>0</v>
      </c>
      <c r="M46" s="21" t="str">
        <f>BD!C24</f>
        <v>Langue (Principauté Frontalière)</v>
      </c>
      <c r="N46" s="322" t="str">
        <f>VLOOKUP(I2,BD!AQ12:BQ75,26,FALSE)</f>
        <v>Perception</v>
      </c>
      <c r="O46" s="323"/>
      <c r="P46" s="324"/>
    </row>
    <row r="47" spans="2:16">
      <c r="B47" s="361" t="str">
        <f>Caracteristique!V5</f>
        <v>Langue (Bretonnien)</v>
      </c>
      <c r="C47" s="357"/>
      <c r="D47" s="357"/>
      <c r="E47" s="366"/>
      <c r="F47" s="139" t="str">
        <f>VLOOKUP(B47,BD!$W$12:$X$98,2,FALSE)</f>
        <v>Int</v>
      </c>
      <c r="G47" s="146">
        <f ca="1">VLOOKUP('Feuille Personnage'!F47,Caracteristique!$J$3:$L$12,3,FALSE)</f>
        <v>33</v>
      </c>
      <c r="H47" s="147" t="str">
        <f t="shared" si="5"/>
        <v/>
      </c>
      <c r="I47" s="148">
        <f t="shared" si="6"/>
        <v>0</v>
      </c>
      <c r="J47" s="137">
        <f t="shared" ca="1" si="3"/>
        <v>33</v>
      </c>
      <c r="L47" s="304">
        <v>0</v>
      </c>
      <c r="M47" s="21" t="str">
        <f>BD!C25</f>
        <v>Commandement</v>
      </c>
    </row>
    <row r="48" spans="2:16">
      <c r="B48" s="361" t="str">
        <f>Caracteristique!V6</f>
        <v>Langue (Principauté Frontalière)</v>
      </c>
      <c r="C48" s="357"/>
      <c r="D48" s="357"/>
      <c r="E48" s="366"/>
      <c r="F48" s="139" t="str">
        <f>VLOOKUP(B48,BD!$W$12:$X$98,2,FALSE)</f>
        <v>Int</v>
      </c>
      <c r="G48" s="146">
        <f ca="1">VLOOKUP('Feuille Personnage'!F48,Caracteristique!$J$3:$L$12,3,FALSE)</f>
        <v>33</v>
      </c>
      <c r="H48" s="147" t="str">
        <f t="shared" si="5"/>
        <v/>
      </c>
      <c r="I48" s="148">
        <f t="shared" si="6"/>
        <v>0</v>
      </c>
      <c r="J48" s="137">
        <f t="shared" ca="1" si="3"/>
        <v>33</v>
      </c>
      <c r="L48" s="304">
        <v>0</v>
      </c>
      <c r="M48" s="21" t="str">
        <f>BD!C26</f>
        <v>Connaissance (Reikland)</v>
      </c>
    </row>
    <row r="49" spans="2:14">
      <c r="B49" s="361" t="str">
        <f>Caracteristique!V7</f>
        <v>Connaissance (Reikland)</v>
      </c>
      <c r="C49" s="357"/>
      <c r="D49" s="357"/>
      <c r="E49" s="366"/>
      <c r="F49" s="139" t="str">
        <f>VLOOKUP(B49,BD!$W$12:$X$98,2,FALSE)</f>
        <v>Int</v>
      </c>
      <c r="G49" s="146">
        <f ca="1">VLOOKUP('Feuille Personnage'!F49,Caracteristique!$J$3:$L$12,3,FALSE)</f>
        <v>33</v>
      </c>
      <c r="H49" s="147" t="str">
        <f t="shared" si="5"/>
        <v/>
      </c>
      <c r="I49" s="148">
        <f t="shared" si="6"/>
        <v>0</v>
      </c>
      <c r="J49" s="137">
        <f t="shared" ca="1" si="3"/>
        <v>33</v>
      </c>
      <c r="L49" s="304">
        <v>3</v>
      </c>
      <c r="M49" s="21" t="str">
        <f>BD!C27</f>
        <v>Mêlée (base)</v>
      </c>
    </row>
    <row r="50" spans="2:14" ht="15.75" thickBot="1">
      <c r="B50" s="361" t="str">
        <f>Caracteristique!V8</f>
        <v>A Distance (Arc)</v>
      </c>
      <c r="C50" s="357"/>
      <c r="D50" s="357"/>
      <c r="E50" s="366"/>
      <c r="F50" s="139" t="str">
        <f>VLOOKUP(B50,BD!$W$12:$X$98,2,FALSE)</f>
        <v>CT</v>
      </c>
      <c r="G50" s="146">
        <f ca="1">VLOOKUP('Feuille Personnage'!F50,Caracteristique!$J$3:$L$12,3,FALSE)</f>
        <v>39</v>
      </c>
      <c r="H50" s="147" t="str">
        <f t="shared" si="5"/>
        <v/>
      </c>
      <c r="I50" s="148">
        <f t="shared" si="6"/>
        <v>3</v>
      </c>
      <c r="J50" s="137">
        <f t="shared" ca="1" si="3"/>
        <v>42</v>
      </c>
      <c r="L50" s="305">
        <v>3</v>
      </c>
      <c r="M50" s="22" t="str">
        <f>BD!C28</f>
        <v>A Distance (Arc)</v>
      </c>
    </row>
    <row r="51" spans="2:14">
      <c r="B51" s="361" t="str">
        <f>Caracteristique!V9</f>
        <v>Equitation</v>
      </c>
      <c r="C51" s="357"/>
      <c r="D51" s="357"/>
      <c r="E51" s="366"/>
      <c r="F51" s="139" t="str">
        <f>VLOOKUP(B51,BD!$W$12:$X$98,2,FALSE)</f>
        <v>Agi</v>
      </c>
      <c r="G51" s="146">
        <f ca="1">VLOOKUP('Feuille Personnage'!F51,Caracteristique!$J$3:$L$12,3,FALSE)</f>
        <v>42</v>
      </c>
      <c r="H51" s="147">
        <f t="shared" si="5"/>
        <v>5</v>
      </c>
      <c r="I51" s="148" t="str">
        <f t="shared" si="6"/>
        <v>0</v>
      </c>
      <c r="J51" s="137">
        <f t="shared" ca="1" si="3"/>
        <v>47</v>
      </c>
      <c r="L51" s="407" t="str">
        <f>IF(COUNTIF(L39:L50,5)&gt;3,"Trois competences max avec un bonus de +5",IF(COUNTIF(L39:L50,3)&gt;3,"Trois competences max avec un bonus de +3",""))</f>
        <v/>
      </c>
      <c r="M51" s="407"/>
    </row>
    <row r="52" spans="2:14" ht="15" customHeight="1">
      <c r="B52" s="361" t="str">
        <f>Caracteristique!V10</f>
        <v>Guérison des animaux</v>
      </c>
      <c r="C52" s="357"/>
      <c r="D52" s="357"/>
      <c r="E52" s="366"/>
      <c r="F52" s="139" t="str">
        <f>VLOOKUP(B52,BD!$W$12:$X$98,2,FALSE)</f>
        <v>Int</v>
      </c>
      <c r="G52" s="146">
        <f ca="1">VLOOKUP('Feuille Personnage'!F52,Caracteristique!$J$3:$L$12,3,FALSE)</f>
        <v>33</v>
      </c>
      <c r="H52" s="147">
        <f t="shared" si="5"/>
        <v>5</v>
      </c>
      <c r="I52" s="148">
        <f t="shared" si="6"/>
        <v>5</v>
      </c>
      <c r="J52" s="137">
        <f t="shared" ca="1" si="3"/>
        <v>43</v>
      </c>
      <c r="L52" s="408"/>
      <c r="M52" s="408"/>
    </row>
    <row r="53" spans="2:14">
      <c r="B53" s="361" t="str">
        <f>Caracteristique!V11</f>
        <v>Endurance</v>
      </c>
      <c r="C53" s="357"/>
      <c r="D53" s="357"/>
      <c r="E53" s="366"/>
      <c r="F53" s="139" t="str">
        <f>VLOOKUP(B53,BD!$W$12:$X$98,2,FALSE)</f>
        <v>End</v>
      </c>
      <c r="G53" s="146">
        <f ca="1">VLOOKUP('Feuille Personnage'!F53,Caracteristique!$J$3:$L$12,3,FALSE)</f>
        <v>31</v>
      </c>
      <c r="H53" s="147">
        <f t="shared" si="5"/>
        <v>5</v>
      </c>
      <c r="I53" s="148" t="str">
        <f t="shared" si="6"/>
        <v>0</v>
      </c>
      <c r="J53" s="137">
        <f t="shared" ca="1" si="3"/>
        <v>36</v>
      </c>
      <c r="L53" s="408"/>
      <c r="M53" s="408"/>
    </row>
    <row r="54" spans="2:14">
      <c r="B54" s="361" t="str">
        <f>Caracteristique!V12</f>
        <v>Langue (Bataille)</v>
      </c>
      <c r="C54" s="357"/>
      <c r="D54" s="357"/>
      <c r="E54" s="366"/>
      <c r="F54" s="139" t="str">
        <f>VLOOKUP(B54,BD!$W$12:$X$98,2,FALSE)</f>
        <v>Int</v>
      </c>
      <c r="G54" s="146">
        <f ca="1">VLOOKUP('Feuille Personnage'!F54,Caracteristique!$J$3:$L$12,3,FALSE)</f>
        <v>33</v>
      </c>
      <c r="H54" s="147">
        <f t="shared" si="5"/>
        <v>5</v>
      </c>
      <c r="I54" s="148" t="str">
        <f t="shared" si="6"/>
        <v>0</v>
      </c>
      <c r="J54" s="159">
        <f t="shared" ca="1" si="3"/>
        <v>38</v>
      </c>
      <c r="L54" s="233"/>
      <c r="M54" s="233"/>
    </row>
    <row r="55" spans="2:14" ht="15.75" thickBot="1">
      <c r="B55" s="362" t="str">
        <f>Caracteristique!V13</f>
        <v xml:space="preserve"> </v>
      </c>
      <c r="C55" s="323"/>
      <c r="D55" s="323"/>
      <c r="E55" s="394"/>
      <c r="F55" s="78" t="e">
        <f>VLOOKUP(B55,BD!$W$12:$X$98,2,FALSE)</f>
        <v>#N/A</v>
      </c>
      <c r="G55" s="155" t="e">
        <f>VLOOKUP('Feuille Personnage'!F55,Caracteristique!$J$3:$L$12,3,FALSE)</f>
        <v>#N/A</v>
      </c>
      <c r="H55" s="150" t="str">
        <f t="shared" si="5"/>
        <v/>
      </c>
      <c r="I55" s="151" t="str">
        <f t="shared" si="6"/>
        <v>0</v>
      </c>
      <c r="J55" s="162" t="e">
        <f t="shared" si="3"/>
        <v>#N/A</v>
      </c>
      <c r="L55" s="233"/>
      <c r="M55" s="233"/>
    </row>
    <row r="56" spans="2:14" ht="15.75" thickBot="1">
      <c r="B56" s="395" t="str">
        <f>Caracteristique!V14</f>
        <v xml:space="preserve"> </v>
      </c>
      <c r="C56" s="395"/>
      <c r="D56" s="395"/>
      <c r="E56" s="395"/>
      <c r="F56" s="114"/>
      <c r="G56" s="114"/>
      <c r="H56" s="114"/>
      <c r="I56" s="156"/>
      <c r="J56" s="114"/>
    </row>
    <row r="57" spans="2:14" ht="15.75" thickBot="1">
      <c r="B57" s="384" t="s">
        <v>716</v>
      </c>
      <c r="C57" s="326"/>
      <c r="D57" s="326"/>
      <c r="E57" s="405"/>
      <c r="F57" s="244" t="s">
        <v>129</v>
      </c>
      <c r="G57" s="245" t="s">
        <v>704</v>
      </c>
      <c r="H57" s="246" t="s">
        <v>705</v>
      </c>
      <c r="I57" s="325" t="s">
        <v>603</v>
      </c>
      <c r="J57" s="326"/>
      <c r="K57" s="326"/>
      <c r="L57" s="326"/>
      <c r="M57" s="327"/>
    </row>
    <row r="58" spans="2:14">
      <c r="B58" s="363" t="str">
        <f>Caracteristique!D92</f>
        <v>Dague</v>
      </c>
      <c r="C58" s="364"/>
      <c r="D58" s="364"/>
      <c r="E58" s="406"/>
      <c r="F58" s="204" t="str">
        <f>IF(LEN(B58)&lt;1,"",IFERROR(VLOOKUP(B58,BD!$BV$12:$CG$38,12,FALSE),"CT*"))</f>
        <v>CC</v>
      </c>
      <c r="G58" s="214">
        <f ca="1">IF(LEN(B58)&lt;1,"",IFERROR(VLOOKUP(VLOOKUP(B58,BD!$BV$12:$CI$38,14,FALSE),B18:J55,9,FALSE),CONCATENATE(B10,"*")))</f>
        <v>47</v>
      </c>
      <c r="H58" s="205" t="str">
        <f ca="1">CONCATENATE("1D10 + ",VLOOKUP(B58,BD!$BV$12:$CG$38,11,FALSE)+ROUNDDOWN($D$10/10,0))</f>
        <v>1D10 + 5</v>
      </c>
      <c r="I58" s="396" t="str">
        <f>VLOOKUP(B58,BD!$BV$12:$CH$38,13,FALSE)</f>
        <v xml:space="preserve"> </v>
      </c>
      <c r="J58" s="397"/>
      <c r="K58" s="397"/>
      <c r="L58" s="397"/>
      <c r="M58" s="398"/>
      <c r="N58" s="251" t="str">
        <f ca="1">IFERROR(IF(FIND("*",G58,1)&gt;0,CONCATENATE("Compétence non apprise: ",VLOOKUP(B58,BD!$BV$12:$CI$38,14,FALSE))),"")</f>
        <v/>
      </c>
    </row>
    <row r="59" spans="2:14">
      <c r="B59" s="361" t="str">
        <f>Caracteristique!D93</f>
        <v>Arme de poing</v>
      </c>
      <c r="C59" s="357"/>
      <c r="D59" s="357"/>
      <c r="E59" s="366"/>
      <c r="F59" s="206" t="str">
        <f>IF(LEN(B59)&lt;1,"",IFERROR(VLOOKUP(B59,BD!$BV$12:$CG$38,12,FALSE),"CT*"))</f>
        <v>CC</v>
      </c>
      <c r="G59" s="201">
        <f ca="1">IF(LEN(B59)&lt;1,"",IFERROR(VLOOKUP(VLOOKUP(B59,BD!$BV$12:$CI$38,14,FALSE),B19:J56,9,FALSE),CONCATENATE(B11,"*")))</f>
        <v>47</v>
      </c>
      <c r="H59" s="202" t="str">
        <f ca="1">CONCATENATE("1D10 + ",VLOOKUP(B59,BD!$BV$12:$CG$38,11,FALSE)+ROUNDDOWN($D$10/10,0))</f>
        <v>1D10 + 7</v>
      </c>
      <c r="I59" s="399" t="str">
        <f>VLOOKUP(B59,BD!$BV$12:$CH$38,13,FALSE)</f>
        <v xml:space="preserve"> </v>
      </c>
      <c r="J59" s="400"/>
      <c r="K59" s="400"/>
      <c r="L59" s="400"/>
      <c r="M59" s="401"/>
      <c r="N59" s="251" t="str">
        <f ca="1">IFERROR(IF(FIND("*",G59,1)&gt;0,CONCATENATE("Compétence non apprise: ",VLOOKUP(B59,BD!$BV$12:$CI$38,14,FALSE))),"")</f>
        <v/>
      </c>
    </row>
    <row r="60" spans="2:14" ht="15.75" thickBot="1">
      <c r="B60" s="362" t="str">
        <f>Caracteristique!D94</f>
        <v/>
      </c>
      <c r="C60" s="323"/>
      <c r="D60" s="323"/>
      <c r="E60" s="394"/>
      <c r="F60" s="207" t="str">
        <f>IF(LEN(B60)&lt;1,"",IFERROR(VLOOKUP(B60,BD!$BV$12:$CG$38,12,FALSE),"CT*"))</f>
        <v/>
      </c>
      <c r="G60" s="210" t="str">
        <f>IF(LEN(B60)&lt;1,"",IFERROR(VLOOKUP(VLOOKUP(B60,BD!$BV$12:$CI$38,14,FALSE),B20:J57,9,FALSE),CONCATENATE(B12,"*")))</f>
        <v/>
      </c>
      <c r="H60" s="208" t="e">
        <f ca="1">CONCATENATE("1D10 + ",VLOOKUP(B60,BD!$BV$12:$CG$38,11,FALSE)+ROUNDDOWN($D$10/10,0))</f>
        <v>#N/A</v>
      </c>
      <c r="I60" s="402" t="e">
        <f>VLOOKUP(B60,BD!$BV$12:$CH$38,13,FALSE)</f>
        <v>#N/A</v>
      </c>
      <c r="J60" s="403"/>
      <c r="K60" s="403"/>
      <c r="L60" s="403"/>
      <c r="M60" s="404"/>
      <c r="N60" s="251" t="str">
        <f>IFERROR(IF(FIND("*",G60,1)&gt;0,CONCATENATE("Compétence non apprise: ",VLOOKUP(B60,BD!$BV$12:$CI$38,14,FALSE))),"")</f>
        <v/>
      </c>
    </row>
    <row r="61" spans="2:14" ht="15.75" thickBot="1">
      <c r="B61" s="395"/>
      <c r="C61" s="395"/>
      <c r="D61" s="395"/>
      <c r="E61" s="395"/>
      <c r="F61" s="209"/>
      <c r="G61" s="209"/>
      <c r="H61" s="209"/>
    </row>
    <row r="62" spans="2:14" ht="15.75" thickBot="1">
      <c r="B62" s="384" t="s">
        <v>717</v>
      </c>
      <c r="C62" s="326"/>
      <c r="D62" s="326"/>
      <c r="E62" s="405"/>
      <c r="F62" s="244" t="s">
        <v>129</v>
      </c>
      <c r="G62" s="245" t="s">
        <v>704</v>
      </c>
      <c r="H62" s="245" t="s">
        <v>705</v>
      </c>
      <c r="I62" s="294" t="s">
        <v>614</v>
      </c>
      <c r="J62" s="337" t="s">
        <v>603</v>
      </c>
      <c r="K62" s="337"/>
      <c r="L62" s="337"/>
      <c r="M62" s="338"/>
    </row>
    <row r="63" spans="2:14">
      <c r="B63" s="363" t="str">
        <f>Caracteristique!D121</f>
        <v/>
      </c>
      <c r="C63" s="364"/>
      <c r="D63" s="364"/>
      <c r="E63" s="406"/>
      <c r="F63" s="204" t="str">
        <f>IF(LEN(B63)&lt;1,"",IFERROR(VLOOKUP(VLOOKUP(B63,BD!$BU$43:$CI$67,15,FALSE),BD!BU43:CI67,13,FALSE),"CT"))</f>
        <v/>
      </c>
      <c r="G63" s="214" t="str">
        <f>IF(LEN(B63)&lt;1,"",IFERROR(VLOOKUP(VLOOKUP(B63,BD!$BU$43:$CI$67,15,FALSE),B18:J55,9,FALSE),CONCATENATE($C$10,"*")))</f>
        <v/>
      </c>
      <c r="H63" s="25" t="e">
        <f>IF(LEN(VLOOKUP(B63,BD!$BV$43:$CI$67,11,FALSE))&gt;1,VLOOKUP(B63,BD!$BV$43:$CI$67,11,FALSE),CONCATENATE("1D10 +  ",ROUNDDOWN($D$10/10,0)+VLOOKUP(B63,BD!$BV$43:$CI$67,11,FALSE)))</f>
        <v>#N/A</v>
      </c>
      <c r="I63" s="236" t="e">
        <f>VLOOKUP('Feuille Personnage'!B63,BD!$BV$43:$CI$67,5,FALSE)</f>
        <v>#N/A</v>
      </c>
      <c r="J63" s="409"/>
      <c r="K63" s="370"/>
      <c r="L63" s="370"/>
      <c r="M63" s="360"/>
      <c r="N63" s="251" t="str">
        <f>IFERROR(IF(FIND("*",G63,1)&gt;0,CONCATENATE("Compétence non apprise: ",VLOOKUP(B63,BD!$BV$43:$CI$67,14,FALSE))),"")</f>
        <v/>
      </c>
    </row>
    <row r="64" spans="2:14" ht="15.75" thickBot="1">
      <c r="B64" s="362" t="str">
        <f>Caracteristique!D122</f>
        <v/>
      </c>
      <c r="C64" s="323"/>
      <c r="D64" s="323"/>
      <c r="E64" s="394"/>
      <c r="F64" s="207" t="str">
        <f>IF(LEN(B64)&lt;1,"",IFERROR(VLOOKUP(VLOOKUP(B64,BD!$BU$43:$CI$67,15,FALSE),BD!BU44:CI68,13,FALSE),"CT"))</f>
        <v/>
      </c>
      <c r="G64" s="210" t="str">
        <f>IF(LEN(B64)&lt;1,"",IFERROR(VLOOKUP(VLOOKUP(B64,BD!$BU$43:$CI$67,15,FALSE),B19:J56,9,FALSE),CONCATENATE($C$10,"*")))</f>
        <v/>
      </c>
      <c r="H64" s="17" t="e">
        <f>IF(LEN(VLOOKUP(B64,BD!$BV$43:$CI$67,11,FALSE))&gt;1,VLOOKUP(B64,BD!$BV$43:$CI$67,11,FALSE),CONCATENATE("1D10 + ",ROUNDDOWN($D$10/10,0)+VLOOKUP(B64,BD!$BV$43:$CI$67,11,FALSE)))</f>
        <v>#N/A</v>
      </c>
      <c r="I64" s="231" t="e">
        <f>VLOOKUP('Feuille Personnage'!B64,BD!$BV$43:$CI$67,5,FALSE)</f>
        <v>#N/A</v>
      </c>
      <c r="J64" s="322"/>
      <c r="K64" s="323"/>
      <c r="L64" s="323"/>
      <c r="M64" s="324"/>
      <c r="N64" s="251" t="str">
        <f>IFERROR(IF(FIND("*",G64,1)&gt;0,CONCATENATE("Compétence non apprise: ",VLOOKUP(B64,BD!$BV$43:$CI$67,14,FALSE))),"")</f>
        <v/>
      </c>
    </row>
    <row r="65" spans="2:13" ht="15.75" thickBot="1">
      <c r="B65" s="395"/>
      <c r="C65" s="395"/>
      <c r="D65" s="395"/>
      <c r="E65" s="395"/>
    </row>
    <row r="66" spans="2:13" ht="15.75" thickBot="1">
      <c r="B66" s="384" t="s">
        <v>844</v>
      </c>
      <c r="C66" s="326"/>
      <c r="D66" s="326"/>
      <c r="E66" s="326"/>
      <c r="F66" s="296" t="s">
        <v>810</v>
      </c>
      <c r="G66" s="296" t="s">
        <v>811</v>
      </c>
      <c r="H66" s="296" t="s">
        <v>812</v>
      </c>
      <c r="I66" s="296" t="s">
        <v>813</v>
      </c>
      <c r="J66" s="296" t="s">
        <v>75</v>
      </c>
      <c r="K66" s="297" t="s">
        <v>809</v>
      </c>
      <c r="L66" s="410" t="s">
        <v>603</v>
      </c>
      <c r="M66" s="411"/>
    </row>
    <row r="67" spans="2:13">
      <c r="B67" s="374" t="str">
        <f>Caracteristique!D147</f>
        <v>Veste de cuir</v>
      </c>
      <c r="C67" s="350"/>
      <c r="D67" s="350"/>
      <c r="E67" s="351"/>
      <c r="F67" s="104">
        <f>VLOOKUP($B67,BD!$CP$29:$CW$43,4,FALSE)</f>
        <v>0</v>
      </c>
      <c r="G67" s="25">
        <f>VLOOKUP($B67,BD!$CP$29:$CW$43,5,FALSE)</f>
        <v>1</v>
      </c>
      <c r="H67" s="25">
        <f>VLOOKUP($B67,BD!$CP$29:$CW$43,6,FALSE)</f>
        <v>0</v>
      </c>
      <c r="I67" s="25">
        <f>VLOOKUP($B67,BD!$CP$29:$CW$43,7,FALSE)</f>
        <v>1</v>
      </c>
      <c r="J67" s="25">
        <f>VLOOKUP($B67,BD!$CP$29:$CW$43,2,FALSE)</f>
        <v>0</v>
      </c>
      <c r="K67" s="252">
        <f>VLOOKUP($B67,BD!$CP$29:$CW$43,3,FALSE)</f>
        <v>0</v>
      </c>
      <c r="L67" s="359">
        <f>VLOOKUP($B67,BD!$CP$29:$CW$43,8,FALSE)</f>
        <v>0</v>
      </c>
      <c r="M67" s="360"/>
    </row>
    <row r="68" spans="2:13">
      <c r="B68" s="361" t="str">
        <f>Caracteristique!D148</f>
        <v/>
      </c>
      <c r="C68" s="357"/>
      <c r="D68" s="357"/>
      <c r="E68" s="366"/>
      <c r="F68" s="6" t="e">
        <f>VLOOKUP($B68,BD!$CP$29:$CW$43,4,FALSE)</f>
        <v>#N/A</v>
      </c>
      <c r="G68" s="5" t="e">
        <f>VLOOKUP($B68,BD!$CP$29:$CW$43,5,FALSE)</f>
        <v>#N/A</v>
      </c>
      <c r="H68" s="5" t="e">
        <f>VLOOKUP($B68,BD!$CP$29:$CW$43,6,FALSE)</f>
        <v>#N/A</v>
      </c>
      <c r="I68" s="5" t="e">
        <f>VLOOKUP($B68,BD!$CP$29:$CW$43,7,FALSE)</f>
        <v>#N/A</v>
      </c>
      <c r="J68" s="5" t="e">
        <f>VLOOKUP($B68,BD!$CP$29:$CW$43,2,FALSE)</f>
        <v>#N/A</v>
      </c>
      <c r="K68" s="224" t="e">
        <f>VLOOKUP($B68,BD!$CP$29:$CW$43,3,FALSE)</f>
        <v>#N/A</v>
      </c>
      <c r="L68" s="361" t="e">
        <f>VLOOKUP($B68,BD!$CP$29:$CW$43,8,FALSE)</f>
        <v>#N/A</v>
      </c>
      <c r="M68" s="358"/>
    </row>
    <row r="69" spans="2:13" ht="15.75" thickBot="1">
      <c r="B69" s="362" t="str">
        <f>Caracteristique!D149</f>
        <v/>
      </c>
      <c r="C69" s="323"/>
      <c r="D69" s="323"/>
      <c r="E69" s="394"/>
      <c r="F69" s="8" t="e">
        <f>VLOOKUP($B69,BD!$CP$29:$CW$43,4,FALSE)</f>
        <v>#N/A</v>
      </c>
      <c r="G69" s="17" t="e">
        <f>VLOOKUP($B69,BD!$CP$29:$CW$43,5,FALSE)</f>
        <v>#N/A</v>
      </c>
      <c r="H69" s="17" t="e">
        <f>VLOOKUP($B69,BD!$CP$29:$CW$43,6,FALSE)</f>
        <v>#N/A</v>
      </c>
      <c r="I69" s="17" t="e">
        <f>VLOOKUP($B69,BD!$CP$29:$CW$43,7,FALSE)</f>
        <v>#N/A</v>
      </c>
      <c r="J69" s="17" t="e">
        <f>VLOOKUP($B69,BD!$CP$29:$CW$43,2,FALSE)</f>
        <v>#N/A</v>
      </c>
      <c r="K69" s="225" t="e">
        <f>VLOOKUP($B69,BD!$CP$29:$CW$43,3,FALSE)</f>
        <v>#N/A</v>
      </c>
      <c r="L69" s="362" t="e">
        <f>VLOOKUP($B69,BD!$CP$29:$CW$43,8,FALSE)</f>
        <v>#N/A</v>
      </c>
      <c r="M69" s="324"/>
    </row>
    <row r="70" spans="2:13">
      <c r="B70" s="395"/>
      <c r="C70" s="395"/>
      <c r="D70" s="395"/>
      <c r="E70" s="395"/>
    </row>
    <row r="71" spans="2:13">
      <c r="B71" s="395"/>
      <c r="C71" s="395"/>
      <c r="D71" s="395"/>
      <c r="E71" s="395"/>
    </row>
    <row r="72" spans="2:13">
      <c r="B72" s="393"/>
      <c r="C72" s="393"/>
      <c r="D72" s="393"/>
    </row>
    <row r="73" spans="2:13">
      <c r="B73" s="393"/>
      <c r="C73" s="393"/>
      <c r="D73" s="393"/>
    </row>
    <row r="74" spans="2:13">
      <c r="B74" s="393"/>
      <c r="C74" s="393"/>
      <c r="D74" s="393"/>
    </row>
    <row r="75" spans="2:13">
      <c r="B75" s="393"/>
      <c r="C75" s="393"/>
      <c r="D75" s="393"/>
    </row>
    <row r="76" spans="2:13">
      <c r="B76" s="393"/>
      <c r="C76" s="393"/>
      <c r="D76" s="393"/>
    </row>
    <row r="77" spans="2:13">
      <c r="B77" s="393"/>
      <c r="C77" s="393"/>
      <c r="D77" s="393"/>
    </row>
    <row r="78" spans="2:13">
      <c r="B78" s="393"/>
      <c r="C78" s="393"/>
      <c r="D78" s="393"/>
    </row>
    <row r="79" spans="2:13">
      <c r="B79" s="393"/>
      <c r="C79" s="393"/>
      <c r="D79" s="393"/>
    </row>
    <row r="80" spans="2:13">
      <c r="B80" s="393"/>
      <c r="C80" s="393"/>
      <c r="D80" s="393"/>
    </row>
    <row r="81" spans="2:4">
      <c r="B81" s="393"/>
      <c r="C81" s="393"/>
      <c r="D81" s="393"/>
    </row>
    <row r="82" spans="2:4">
      <c r="B82" s="393"/>
      <c r="C82" s="393"/>
      <c r="D82" s="393"/>
    </row>
    <row r="83" spans="2:4">
      <c r="B83" s="393"/>
      <c r="C83" s="393"/>
      <c r="D83" s="393"/>
    </row>
    <row r="84" spans="2:4">
      <c r="B84" s="393"/>
      <c r="C84" s="393"/>
      <c r="D84" s="393"/>
    </row>
    <row r="85" spans="2:4">
      <c r="B85" s="393"/>
      <c r="C85" s="393"/>
      <c r="D85" s="393"/>
    </row>
    <row r="86" spans="2:4">
      <c r="B86" s="393"/>
      <c r="C86" s="393"/>
      <c r="D86" s="393"/>
    </row>
    <row r="87" spans="2:4">
      <c r="B87" s="393"/>
      <c r="C87" s="393"/>
      <c r="D87" s="393"/>
    </row>
    <row r="88" spans="2:4">
      <c r="B88" s="393"/>
      <c r="C88" s="393"/>
      <c r="D88" s="393"/>
    </row>
    <row r="89" spans="2:4">
      <c r="B89" s="393"/>
      <c r="C89" s="393"/>
      <c r="D89" s="393"/>
    </row>
    <row r="90" spans="2:4">
      <c r="B90" s="393"/>
      <c r="C90" s="393"/>
      <c r="D90" s="393"/>
    </row>
    <row r="91" spans="2:4">
      <c r="B91" s="393"/>
      <c r="C91" s="393"/>
      <c r="D91" s="393"/>
    </row>
    <row r="92" spans="2:4">
      <c r="B92" s="393"/>
      <c r="C92" s="393"/>
      <c r="D92" s="393"/>
    </row>
    <row r="93" spans="2:4">
      <c r="B93" s="393"/>
      <c r="C93" s="393"/>
      <c r="D93" s="393"/>
    </row>
    <row r="94" spans="2:4">
      <c r="B94" s="393"/>
      <c r="C94" s="393"/>
      <c r="D94" s="393"/>
    </row>
    <row r="95" spans="2:4">
      <c r="B95" s="393"/>
      <c r="C95" s="393"/>
      <c r="D95" s="393"/>
    </row>
  </sheetData>
  <sortState xmlns:xlrd2="http://schemas.microsoft.com/office/spreadsheetml/2017/richdata2" ref="B18:E42">
    <sortCondition ref="B18:B42"/>
  </sortState>
  <mergeCells count="135">
    <mergeCell ref="L51:M53"/>
    <mergeCell ref="J62:M62"/>
    <mergeCell ref="J63:M63"/>
    <mergeCell ref="J64:M64"/>
    <mergeCell ref="L66:M66"/>
    <mergeCell ref="L67:M67"/>
    <mergeCell ref="M16:O16"/>
    <mergeCell ref="B65:E65"/>
    <mergeCell ref="B66:E66"/>
    <mergeCell ref="B67:E67"/>
    <mergeCell ref="B43:D43"/>
    <mergeCell ref="B41:E41"/>
    <mergeCell ref="B42:E42"/>
    <mergeCell ref="B44:E44"/>
    <mergeCell ref="B50:E50"/>
    <mergeCell ref="B51:E51"/>
    <mergeCell ref="B52:E52"/>
    <mergeCell ref="B53:E53"/>
    <mergeCell ref="B54:E54"/>
    <mergeCell ref="B55:E55"/>
    <mergeCell ref="B56:E56"/>
    <mergeCell ref="N42:P42"/>
    <mergeCell ref="N43:P43"/>
    <mergeCell ref="N44:P44"/>
    <mergeCell ref="B68:E68"/>
    <mergeCell ref="B69:E69"/>
    <mergeCell ref="B70:E70"/>
    <mergeCell ref="B71:E71"/>
    <mergeCell ref="I57:M57"/>
    <mergeCell ref="I58:M58"/>
    <mergeCell ref="I59:M59"/>
    <mergeCell ref="I60:M60"/>
    <mergeCell ref="L68:M68"/>
    <mergeCell ref="L69:M69"/>
    <mergeCell ref="B57:E57"/>
    <mergeCell ref="B58:E58"/>
    <mergeCell ref="B59:E59"/>
    <mergeCell ref="B60:E60"/>
    <mergeCell ref="B61:E61"/>
    <mergeCell ref="B62:E62"/>
    <mergeCell ref="B63:E63"/>
    <mergeCell ref="B64:E64"/>
    <mergeCell ref="B72:D72"/>
    <mergeCell ref="B73:D73"/>
    <mergeCell ref="B74:D74"/>
    <mergeCell ref="B75:D75"/>
    <mergeCell ref="B76:D76"/>
    <mergeCell ref="B77:D77"/>
    <mergeCell ref="B94:D94"/>
    <mergeCell ref="B95:D95"/>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G2:H2"/>
    <mergeCell ref="N39:P39"/>
    <mergeCell ref="N40:P40"/>
    <mergeCell ref="I2:J2"/>
    <mergeCell ref="I3:J3"/>
    <mergeCell ref="B2:C2"/>
    <mergeCell ref="D2:E2"/>
    <mergeCell ref="B17:E17"/>
    <mergeCell ref="N41:P41"/>
    <mergeCell ref="G4:H4"/>
    <mergeCell ref="I4:J4"/>
    <mergeCell ref="G3:H3"/>
    <mergeCell ref="B26:E26"/>
    <mergeCell ref="B27:E27"/>
    <mergeCell ref="B28:E28"/>
    <mergeCell ref="B29:E29"/>
    <mergeCell ref="B30:E30"/>
    <mergeCell ref="B19:E19"/>
    <mergeCell ref="B20:E20"/>
    <mergeCell ref="B21:E21"/>
    <mergeCell ref="B22:E22"/>
    <mergeCell ref="B23:E23"/>
    <mergeCell ref="J12:K12"/>
    <mergeCell ref="I15:L16"/>
    <mergeCell ref="N19:O19"/>
    <mergeCell ref="N20:O20"/>
    <mergeCell ref="B18:E18"/>
    <mergeCell ref="B49:E49"/>
    <mergeCell ref="B36:E36"/>
    <mergeCell ref="B37:E37"/>
    <mergeCell ref="B38:E38"/>
    <mergeCell ref="B39:E39"/>
    <mergeCell ref="B40:E40"/>
    <mergeCell ref="B31:E31"/>
    <mergeCell ref="B32:E32"/>
    <mergeCell ref="B33:E33"/>
    <mergeCell ref="B34:E34"/>
    <mergeCell ref="B35:E35"/>
    <mergeCell ref="M30:M36"/>
    <mergeCell ref="B45:E45"/>
    <mergeCell ref="B46:E46"/>
    <mergeCell ref="B47:E47"/>
    <mergeCell ref="B48:E48"/>
    <mergeCell ref="B24:E24"/>
    <mergeCell ref="B25:E25"/>
    <mergeCell ref="N46:P46"/>
    <mergeCell ref="N38:P38"/>
    <mergeCell ref="O12:P12"/>
    <mergeCell ref="O13:P13"/>
    <mergeCell ref="O2:P3"/>
    <mergeCell ref="N29:P29"/>
    <mergeCell ref="N30:P36"/>
    <mergeCell ref="O4:P4"/>
    <mergeCell ref="O5:P5"/>
    <mergeCell ref="O6:P6"/>
    <mergeCell ref="O7:P7"/>
    <mergeCell ref="O8:P8"/>
    <mergeCell ref="O9:P9"/>
    <mergeCell ref="O10:P10"/>
    <mergeCell ref="O11:P11"/>
    <mergeCell ref="N22:P22"/>
    <mergeCell ref="N23:P23"/>
    <mergeCell ref="N24:P24"/>
    <mergeCell ref="N25:P25"/>
    <mergeCell ref="N26:P26"/>
    <mergeCell ref="N27:P27"/>
    <mergeCell ref="N45:P45"/>
    <mergeCell ref="N17:O17"/>
    <mergeCell ref="N18:O18"/>
  </mergeCells>
  <conditionalFormatting sqref="F45:G55 F56:J56 G57:I57 G62:J62 B45:B71">
    <cfRule type="containsErrors" dxfId="24" priority="13">
      <formula>ISERROR(B45)</formula>
    </cfRule>
  </conditionalFormatting>
  <conditionalFormatting sqref="J56">
    <cfRule type="cellIs" dxfId="23" priority="12" operator="equal">
      <formula>0</formula>
    </cfRule>
  </conditionalFormatting>
  <conditionalFormatting sqref="M4:M13">
    <cfRule type="duplicateValues" dxfId="22" priority="11"/>
  </conditionalFormatting>
  <conditionalFormatting sqref="O4:P13">
    <cfRule type="duplicateValues" dxfId="21" priority="9"/>
  </conditionalFormatting>
  <conditionalFormatting sqref="J54:J55">
    <cfRule type="containsErrors" dxfId="20" priority="8">
      <formula>ISERROR(J54)</formula>
    </cfRule>
  </conditionalFormatting>
  <conditionalFormatting sqref="I18:I43 I45:I55">
    <cfRule type="containsText" dxfId="19" priority="7" operator="containsText" text="0">
      <formula>NOT(ISERROR(SEARCH("0",I18)))</formula>
    </cfRule>
  </conditionalFormatting>
  <conditionalFormatting sqref="I58:I60">
    <cfRule type="containsErrors" dxfId="18" priority="5">
      <formula>ISERROR(I58)</formula>
    </cfRule>
  </conditionalFormatting>
  <conditionalFormatting sqref="I63:I64">
    <cfRule type="containsErrors" dxfId="17" priority="4">
      <formula>ISERROR(I63)</formula>
    </cfRule>
  </conditionalFormatting>
  <conditionalFormatting sqref="B58:M61 B62:J64">
    <cfRule type="containsErrors" dxfId="16" priority="3">
      <formula>ISERROR(B58)</formula>
    </cfRule>
  </conditionalFormatting>
  <conditionalFormatting sqref="J63:J64">
    <cfRule type="containsErrors" dxfId="15" priority="2">
      <formula>ISERROR(J63)</formula>
    </cfRule>
  </conditionalFormatting>
  <conditionalFormatting sqref="B67:M69">
    <cfRule type="containsErrors" dxfId="14" priority="1">
      <formula>ISERROR(B67)</formula>
    </cfRule>
  </conditionalFormatting>
  <dataValidations count="4">
    <dataValidation type="list" allowBlank="1" showInputMessage="1" showErrorMessage="1" sqref="D3:E3" xr:uid="{997AF91F-BE15-4C4F-B541-0BEDE2B6C6E6}">
      <formula1>"Basique,Expérimenté"</formula1>
    </dataValidation>
    <dataValidation allowBlank="1" showInputMessage="1" showErrorMessage="1" promptTitle="Profil éditable " prompt="S'applique au profil &quot;personnalisé&quot;_x000a_" sqref="O2:P3" xr:uid="{869DF49A-C655-4571-B37E-FBB1D9E05FB9}"/>
    <dataValidation type="list" allowBlank="1" showInputMessage="1" showErrorMessage="1" sqref="L39:L50" xr:uid="{92695205-5AC3-412C-B479-AA5AACA9BD4B}">
      <formula1>"+5,+3,0"</formula1>
    </dataValidation>
    <dataValidation type="list" allowBlank="1" showInputMessage="1" showErrorMessage="1" sqref="K13:K14" xr:uid="{364DF957-316B-4F92-A7C6-3B251CBB6AE9}">
      <formula1>"1,2,3"</formula1>
    </dataValidation>
  </dataValidations>
  <pageMargins left="0.7" right="0.7" top="0.75" bottom="0.75" header="0.3" footer="0.3"/>
  <pageSetup paperSize="9" orientation="portrait" horizontalDpi="4294967293" verticalDpi="0" r:id="rId1"/>
  <ignoredErrors>
    <ignoredError sqref="F55:M57 I58:M58 I59:M59 I60:M60 H59:H60 H63:I64 F68:M69"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A0624D33-0F51-42EC-B620-E468CA9B4720}">
          <x14:formula1>
            <xm:f>BD!$A$3:$A$7</xm:f>
          </x14:formula1>
          <xm:sqref>D2:E2</xm:sqref>
        </x14:dataValidation>
        <x14:dataValidation type="list" allowBlank="1" showInputMessage="1" showErrorMessage="1" xr:uid="{1BC2FE15-0202-476D-B3E2-5B6E00E55486}">
          <x14:formula1>
            <xm:f>Caracteristique!$A$49:$A$56</xm:f>
          </x14:formula1>
          <xm:sqref>R2</xm:sqref>
        </x14:dataValidation>
        <x14:dataValidation type="list" allowBlank="1" showInputMessage="1" showErrorMessage="1" xr:uid="{4FD33F98-DF04-4DF7-9601-043EB56652CE}">
          <x14:formula1>
            <xm:f>Caracteristique!$E$78:$E$87</xm:f>
          </x14:formula1>
          <xm:sqref>O4:P13</xm:sqref>
        </x14:dataValidation>
        <x14:dataValidation type="list" allowBlank="1" showInputMessage="1" showErrorMessage="1" xr:uid="{1CA63833-2638-4CDB-AAE0-D3EAA1881C9B}">
          <x14:formula1>
            <xm:f>Caracteristique!$A$46:$A$56</xm:f>
          </x14:formula1>
          <xm:sqref>M3</xm:sqref>
        </x14:dataValidation>
        <x14:dataValidation type="list" allowBlank="1" showInputMessage="1" showErrorMessage="1" xr:uid="{57D38A3D-CB32-4182-B962-0ABA7BA11563}">
          <x14:formula1>
            <xm:f>BD!$C$36:$C$98</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BF4F-3354-4EF4-B42E-758BB02A9341}">
  <dimension ref="B1:AA42"/>
  <sheetViews>
    <sheetView zoomScaleNormal="100" workbookViewId="0">
      <selection activeCell="Q3" sqref="Q3"/>
    </sheetView>
  </sheetViews>
  <sheetFormatPr baseColWidth="10" defaultColWidth="7.5703125" defaultRowHeight="15"/>
  <cols>
    <col min="1" max="1" width="2" style="152" customWidth="1"/>
    <col min="2" max="7" width="7.5703125" style="152"/>
    <col min="8" max="8" width="6.7109375" style="152" customWidth="1"/>
    <col min="9" max="9" width="9.42578125" style="152" customWidth="1"/>
    <col min="10" max="10" width="7.5703125" style="152"/>
    <col min="11" max="11" width="6.140625" style="152" customWidth="1"/>
    <col min="12" max="12" width="8.28515625" style="152" customWidth="1"/>
    <col min="13" max="13" width="8.42578125" style="152" customWidth="1"/>
    <col min="14" max="14" width="7.5703125" style="152"/>
    <col min="15" max="15" width="9" style="152" customWidth="1"/>
    <col min="16" max="16" width="9.85546875" style="152" customWidth="1"/>
    <col min="17" max="16384" width="7.5703125" style="152"/>
  </cols>
  <sheetData>
    <row r="1" spans="2:27" s="209" customFormat="1" ht="6.75" customHeight="1" thickBot="1"/>
    <row r="2" spans="2:27" ht="16.5" thickBot="1">
      <c r="B2" s="412" t="s">
        <v>13</v>
      </c>
      <c r="C2" s="413"/>
      <c r="D2" s="422" t="str">
        <f>'Feuille Personnage'!D2</f>
        <v>Humain</v>
      </c>
      <c r="E2" s="423"/>
      <c r="F2" s="3"/>
      <c r="G2" s="412" t="s">
        <v>195</v>
      </c>
      <c r="H2" s="413"/>
      <c r="I2" s="385" t="str">
        <f>'Feuille Personnage'!I3</f>
        <v>Argent 2</v>
      </c>
      <c r="J2" s="387"/>
      <c r="L2" s="412" t="s">
        <v>700</v>
      </c>
      <c r="M2" s="414"/>
      <c r="N2" s="465">
        <f>'Feuille Personnage'!B15</f>
        <v>3</v>
      </c>
      <c r="O2" s="412" t="s">
        <v>701</v>
      </c>
      <c r="P2" s="414"/>
      <c r="Q2" s="466">
        <f ca="1">'Feuille Personnage'!F15</f>
        <v>3</v>
      </c>
    </row>
    <row r="3" spans="2:27" ht="16.5" thickBot="1">
      <c r="B3" s="412" t="s">
        <v>158</v>
      </c>
      <c r="C3" s="414"/>
      <c r="D3" s="424" t="str">
        <f>'Feuille Personnage'!I2</f>
        <v xml:space="preserve">Cavalier </v>
      </c>
      <c r="E3" s="425"/>
      <c r="F3"/>
      <c r="G3" s="412" t="s">
        <v>399</v>
      </c>
      <c r="H3" s="413"/>
      <c r="I3" s="378" t="str">
        <f ca="1">'Feuille Personnage'!I4</f>
        <v>11 PA</v>
      </c>
      <c r="J3" s="379"/>
      <c r="L3" s="412" t="s">
        <v>699</v>
      </c>
      <c r="M3" s="414"/>
      <c r="N3" s="71">
        <f>'Feuille Personnage'!C15</f>
        <v>3</v>
      </c>
      <c r="O3" s="412" t="s">
        <v>702</v>
      </c>
      <c r="P3" s="414"/>
      <c r="Q3" s="71">
        <f>'Feuille Personnage'!H15</f>
        <v>3</v>
      </c>
    </row>
    <row r="4" spans="2:27" ht="15.75" thickBot="1"/>
    <row r="5" spans="2:27" ht="15.75" thickBot="1">
      <c r="B5" s="240" t="s">
        <v>3</v>
      </c>
      <c r="C5" s="241" t="s">
        <v>4</v>
      </c>
      <c r="D5" s="241" t="s">
        <v>6</v>
      </c>
      <c r="E5" s="241" t="s">
        <v>5</v>
      </c>
      <c r="F5" s="241" t="s">
        <v>7</v>
      </c>
      <c r="G5" s="241" t="s">
        <v>8</v>
      </c>
      <c r="H5" s="241" t="s">
        <v>9</v>
      </c>
      <c r="I5" s="241" t="s">
        <v>10</v>
      </c>
      <c r="J5" s="241" t="s">
        <v>11</v>
      </c>
      <c r="K5" s="242" t="s">
        <v>12</v>
      </c>
      <c r="L5" s="75"/>
      <c r="M5" s="240" t="s">
        <v>19</v>
      </c>
      <c r="N5" s="241" t="s">
        <v>696</v>
      </c>
      <c r="O5" s="242" t="s">
        <v>427</v>
      </c>
      <c r="Q5" s="222"/>
      <c r="S5" s="75"/>
      <c r="T5" s="75"/>
      <c r="U5" s="75"/>
      <c r="V5" s="75"/>
      <c r="W5" s="75"/>
      <c r="X5" s="75"/>
      <c r="Y5" s="75"/>
      <c r="Z5" s="75"/>
      <c r="AA5" s="75"/>
    </row>
    <row r="6" spans="2:27" ht="15.75" thickBot="1">
      <c r="B6" s="143">
        <f ca="1">'Feuille Personnage'!B10</f>
        <v>39</v>
      </c>
      <c r="C6" s="160">
        <f ca="1">'Feuille Personnage'!C10</f>
        <v>39</v>
      </c>
      <c r="D6" s="160">
        <f ca="1">'Feuille Personnage'!D10</f>
        <v>39</v>
      </c>
      <c r="E6" s="160">
        <f ca="1">'Feuille Personnage'!E10</f>
        <v>31</v>
      </c>
      <c r="F6" s="160">
        <f ca="1">'Feuille Personnage'!F10</f>
        <v>42</v>
      </c>
      <c r="G6" s="160">
        <f ca="1">'Feuille Personnage'!G10</f>
        <v>32</v>
      </c>
      <c r="H6" s="160">
        <f ca="1">'Feuille Personnage'!H10</f>
        <v>29</v>
      </c>
      <c r="I6" s="160">
        <f ca="1">'Feuille Personnage'!I10</f>
        <v>33</v>
      </c>
      <c r="J6" s="160">
        <f ca="1">'Feuille Personnage'!J10</f>
        <v>26</v>
      </c>
      <c r="K6" s="161">
        <f ca="1">'Feuille Personnage'!K10</f>
        <v>31</v>
      </c>
      <c r="M6" s="143">
        <f ca="1">'Feuille Personnage'!D15</f>
        <v>4</v>
      </c>
      <c r="N6" s="160">
        <f ca="1">'Feuille Personnage'!E15</f>
        <v>11</v>
      </c>
      <c r="O6" s="161">
        <f ca="1">'Feuille Personnage'!G15</f>
        <v>6</v>
      </c>
      <c r="Q6" s="156"/>
    </row>
    <row r="7" spans="2:27" ht="15.75" thickBot="1"/>
    <row r="8" spans="2:27" ht="15.75" thickBot="1">
      <c r="B8" s="426" t="s">
        <v>76</v>
      </c>
      <c r="C8" s="427"/>
      <c r="D8" s="427"/>
      <c r="E8" s="428"/>
      <c r="F8" s="239" t="s">
        <v>129</v>
      </c>
      <c r="G8" s="238" t="s">
        <v>188</v>
      </c>
      <c r="I8" s="426" t="s">
        <v>151</v>
      </c>
      <c r="J8" s="427"/>
      <c r="K8" s="427"/>
      <c r="L8" s="428"/>
      <c r="M8" s="239" t="s">
        <v>129</v>
      </c>
      <c r="N8" s="238" t="s">
        <v>188</v>
      </c>
      <c r="P8" s="390" t="s">
        <v>731</v>
      </c>
      <c r="Q8" s="415"/>
      <c r="R8" s="391"/>
    </row>
    <row r="9" spans="2:27">
      <c r="B9" s="363" t="s">
        <v>71</v>
      </c>
      <c r="C9" s="364"/>
      <c r="D9" s="364"/>
      <c r="E9" s="365"/>
      <c r="F9" s="154" t="str">
        <f>VLOOKUP(B9,BD!$T$12:$U$36,2,FALSE)</f>
        <v>Dex</v>
      </c>
      <c r="G9" s="217">
        <f ca="1">'Feuille Personnage'!J18</f>
        <v>29</v>
      </c>
      <c r="I9" s="363" t="str">
        <f>Caracteristique!V3</f>
        <v>Guérison des animaux</v>
      </c>
      <c r="J9" s="364"/>
      <c r="K9" s="364"/>
      <c r="L9" s="365"/>
      <c r="M9" s="204" t="str">
        <f>VLOOKUP(I9,BD!$W$12:$X$98,2,FALSE)</f>
        <v>Int</v>
      </c>
      <c r="N9" s="250">
        <f ca="1">'Feuille Personnage'!J45</f>
        <v>43</v>
      </c>
      <c r="P9" s="359" t="str">
        <f>'Feuille Personnage'!M23</f>
        <v>Destinée</v>
      </c>
      <c r="Q9" s="370"/>
      <c r="R9" s="360"/>
    </row>
    <row r="10" spans="2:27">
      <c r="B10" s="361" t="s">
        <v>130</v>
      </c>
      <c r="C10" s="357" t="s">
        <v>130</v>
      </c>
      <c r="D10" s="357" t="s">
        <v>130</v>
      </c>
      <c r="E10" s="358"/>
      <c r="F10" s="153" t="str">
        <f>VLOOKUP(B10,BD!$T$12:$U$36,2,FALSE)</f>
        <v>Agi</v>
      </c>
      <c r="G10" s="218">
        <f ca="1">'Feuille Personnage'!J19</f>
        <v>42</v>
      </c>
      <c r="I10" s="361" t="str">
        <f>Caracteristique!V4</f>
        <v>Evaluation</v>
      </c>
      <c r="J10" s="357"/>
      <c r="K10" s="357"/>
      <c r="L10" s="358"/>
      <c r="M10" s="206" t="str">
        <f>VLOOKUP(I10,BD!$W$12:$X$98,2,FALSE)</f>
        <v>Int</v>
      </c>
      <c r="N10" s="218">
        <f ca="1">'Feuille Personnage'!J46</f>
        <v>36</v>
      </c>
      <c r="P10" s="361" t="str">
        <f>'Feuille Personnage'!M24</f>
        <v>Intelligent ou Charmant</v>
      </c>
      <c r="Q10" s="357"/>
      <c r="R10" s="358"/>
    </row>
    <row r="11" spans="2:27">
      <c r="B11" s="361" t="s">
        <v>127</v>
      </c>
      <c r="C11" s="357" t="s">
        <v>127</v>
      </c>
      <c r="D11" s="357" t="s">
        <v>127</v>
      </c>
      <c r="E11" s="358"/>
      <c r="F11" s="153" t="str">
        <f>VLOOKUP(B11,BD!$T$12:$U$36,2,FALSE)</f>
        <v>FM</v>
      </c>
      <c r="G11" s="218">
        <f ca="1">'Feuille Personnage'!J20</f>
        <v>31</v>
      </c>
      <c r="I11" s="361" t="str">
        <f>Caracteristique!V5</f>
        <v>Langue (Bretonnien)</v>
      </c>
      <c r="J11" s="357"/>
      <c r="K11" s="357"/>
      <c r="L11" s="358"/>
      <c r="M11" s="206" t="str">
        <f>VLOOKUP(I11,BD!$W$12:$X$98,2,FALSE)</f>
        <v>Int</v>
      </c>
      <c r="N11" s="218">
        <f ca="1">'Feuille Personnage'!J47</f>
        <v>33</v>
      </c>
      <c r="P11" s="361" t="str">
        <f ca="1">'Feuille Personnage'!M25</f>
        <v>Ton Parfait</v>
      </c>
      <c r="Q11" s="357"/>
      <c r="R11" s="358"/>
    </row>
    <row r="12" spans="2:27">
      <c r="B12" s="361" t="s">
        <v>131</v>
      </c>
      <c r="C12" s="357" t="s">
        <v>131</v>
      </c>
      <c r="D12" s="357" t="s">
        <v>131</v>
      </c>
      <c r="E12" s="358"/>
      <c r="F12" s="153" t="str">
        <f>VLOOKUP(B12,BD!$T$12:$U$36,2,FALSE)</f>
        <v>Int</v>
      </c>
      <c r="G12" s="218">
        <f ca="1">'Feuille Personnage'!J21</f>
        <v>33</v>
      </c>
      <c r="I12" s="361" t="str">
        <f>Caracteristique!V6</f>
        <v>Langue (Principauté Frontalière)</v>
      </c>
      <c r="J12" s="357"/>
      <c r="K12" s="357"/>
      <c r="L12" s="358"/>
      <c r="M12" s="206" t="str">
        <f>VLOOKUP(I12,BD!$W$12:$X$98,2,FALSE)</f>
        <v>Int</v>
      </c>
      <c r="N12" s="218">
        <f ca="1">'Feuille Personnage'!J48</f>
        <v>33</v>
      </c>
      <c r="P12" s="361" t="str">
        <f ca="1">'Feuille Personnage'!M26</f>
        <v>Tireur de précision</v>
      </c>
      <c r="Q12" s="357"/>
      <c r="R12" s="358"/>
    </row>
    <row r="13" spans="2:27">
      <c r="B13" s="361" t="s">
        <v>132</v>
      </c>
      <c r="C13" s="357" t="s">
        <v>132</v>
      </c>
      <c r="D13" s="357" t="s">
        <v>132</v>
      </c>
      <c r="E13" s="358"/>
      <c r="F13" s="153" t="str">
        <f>VLOOKUP(B13,BD!$T$12:$U$36,2,FALSE)</f>
        <v>Soc</v>
      </c>
      <c r="G13" s="218">
        <f ca="1">'Feuille Personnage'!J22</f>
        <v>36</v>
      </c>
      <c r="I13" s="361" t="str">
        <f>Caracteristique!V7</f>
        <v>Connaissance (Reikland)</v>
      </c>
      <c r="J13" s="357"/>
      <c r="K13" s="357"/>
      <c r="L13" s="358"/>
      <c r="M13" s="206" t="str">
        <f>VLOOKUP(I13,BD!$W$12:$X$98,2,FALSE)</f>
        <v>Int</v>
      </c>
      <c r="N13" s="218">
        <f ca="1">'Feuille Personnage'!J49</f>
        <v>33</v>
      </c>
      <c r="P13" s="419" t="str">
        <f ca="1">'Feuille Personnage'!M27</f>
        <v>Intelligent</v>
      </c>
      <c r="Q13" s="420"/>
      <c r="R13" s="421"/>
    </row>
    <row r="14" spans="2:27" ht="15.75" thickBot="1">
      <c r="B14" s="361" t="s">
        <v>125</v>
      </c>
      <c r="C14" s="357" t="s">
        <v>125</v>
      </c>
      <c r="D14" s="357" t="s">
        <v>125</v>
      </c>
      <c r="E14" s="358"/>
      <c r="F14" s="153" t="str">
        <f>VLOOKUP(B14,BD!$T$12:$U$36,2,FALSE)</f>
        <v>Soc</v>
      </c>
      <c r="G14" s="218">
        <f ca="1">'Feuille Personnage'!J23</f>
        <v>31</v>
      </c>
      <c r="I14" s="361" t="str">
        <f>Caracteristique!V8</f>
        <v>A Distance (Arc)</v>
      </c>
      <c r="J14" s="357"/>
      <c r="K14" s="357"/>
      <c r="L14" s="358"/>
      <c r="M14" s="206" t="str">
        <f>VLOOKUP(I14,BD!$W$12:$X$98,2,FALSE)</f>
        <v>CT</v>
      </c>
      <c r="N14" s="218">
        <f ca="1">'Feuille Personnage'!J50</f>
        <v>42</v>
      </c>
      <c r="P14" s="416" t="str">
        <f>'Feuille Personnage'!M28</f>
        <v/>
      </c>
      <c r="Q14" s="417"/>
      <c r="R14" s="418"/>
    </row>
    <row r="15" spans="2:27" ht="15.75" thickBot="1">
      <c r="B15" s="361" t="s">
        <v>133</v>
      </c>
      <c r="C15" s="357" t="s">
        <v>133</v>
      </c>
      <c r="D15" s="357" t="s">
        <v>133</v>
      </c>
      <c r="E15" s="358"/>
      <c r="F15" s="153" t="str">
        <f>VLOOKUP(B15,BD!$T$12:$U$36,2,FALSE)</f>
        <v>Soc</v>
      </c>
      <c r="G15" s="218">
        <f ca="1">'Feuille Personnage'!J24</f>
        <v>31</v>
      </c>
      <c r="I15" s="361" t="str">
        <f>Caracteristique!V9</f>
        <v>Equitation</v>
      </c>
      <c r="J15" s="357"/>
      <c r="K15" s="357"/>
      <c r="L15" s="358"/>
      <c r="M15" s="206" t="str">
        <f>VLOOKUP(I15,BD!$W$12:$X$98,2,FALSE)</f>
        <v>Agi</v>
      </c>
      <c r="N15" s="218">
        <f ca="1">'Feuille Personnage'!J51</f>
        <v>47</v>
      </c>
    </row>
    <row r="16" spans="2:27" ht="15.75" thickBot="1">
      <c r="B16" s="361" t="s">
        <v>134</v>
      </c>
      <c r="C16" s="357" t="s">
        <v>134</v>
      </c>
      <c r="D16" s="357" t="s">
        <v>134</v>
      </c>
      <c r="E16" s="358"/>
      <c r="F16" s="153" t="str">
        <f>VLOOKUP(B16,BD!$T$12:$U$36,2,FALSE)</f>
        <v>Agi</v>
      </c>
      <c r="G16" s="218">
        <f ca="1">'Feuille Personnage'!J25</f>
        <v>42</v>
      </c>
      <c r="I16" s="361" t="str">
        <f>Caracteristique!V10</f>
        <v>Guérison des animaux</v>
      </c>
      <c r="J16" s="357"/>
      <c r="K16" s="357"/>
      <c r="L16" s="358"/>
      <c r="M16" s="206" t="str">
        <f>VLOOKUP(I16,BD!$W$12:$X$98,2,FALSE)</f>
        <v>Int</v>
      </c>
      <c r="N16" s="218">
        <f ca="1">'Feuille Personnage'!J52</f>
        <v>43</v>
      </c>
      <c r="P16" s="336" t="s">
        <v>732</v>
      </c>
      <c r="Q16" s="337"/>
      <c r="R16" s="338"/>
    </row>
    <row r="17" spans="2:20">
      <c r="B17" s="361" t="s">
        <v>135</v>
      </c>
      <c r="C17" s="357" t="s">
        <v>135</v>
      </c>
      <c r="D17" s="357" t="s">
        <v>135</v>
      </c>
      <c r="E17" s="358"/>
      <c r="F17" s="153" t="str">
        <f>VLOOKUP(B17,BD!$T$12:$U$36,2,FALSE)</f>
        <v>Soc</v>
      </c>
      <c r="G17" s="218">
        <f ca="1">'Feuille Personnage'!J26</f>
        <v>31</v>
      </c>
      <c r="I17" s="361" t="str">
        <f>Caracteristique!V11</f>
        <v>Endurance</v>
      </c>
      <c r="J17" s="357"/>
      <c r="K17" s="357"/>
      <c r="L17" s="358"/>
      <c r="M17" s="206" t="str">
        <f>VLOOKUP(I17,BD!$W$12:$X$98,2,FALSE)</f>
        <v>End</v>
      </c>
      <c r="N17" s="218">
        <f ca="1">'Feuille Personnage'!J53</f>
        <v>36</v>
      </c>
      <c r="P17" s="374" t="str">
        <f>'Feuille Personnage'!N23</f>
        <v>Cavalier émérite</v>
      </c>
      <c r="Q17" s="350"/>
      <c r="R17" s="351"/>
    </row>
    <row r="18" spans="2:20">
      <c r="B18" s="361" t="s">
        <v>136</v>
      </c>
      <c r="C18" s="357" t="s">
        <v>136</v>
      </c>
      <c r="D18" s="357" t="s">
        <v>136</v>
      </c>
      <c r="E18" s="358"/>
      <c r="F18" s="153" t="str">
        <f>VLOOKUP(B18,BD!$T$12:$U$36,2,FALSE)</f>
        <v>Agi</v>
      </c>
      <c r="G18" s="218">
        <f ca="1">'Feuille Personnage'!J27</f>
        <v>42</v>
      </c>
      <c r="I18" s="361" t="str">
        <f>Caracteristique!V12</f>
        <v>Langue (Bataille)</v>
      </c>
      <c r="J18" s="357"/>
      <c r="K18" s="357"/>
      <c r="L18" s="358"/>
      <c r="M18" s="206" t="str">
        <f>VLOOKUP(I18,BD!$W$12:$X$98,2,FALSE)</f>
        <v>Int</v>
      </c>
      <c r="N18" s="218">
        <f ca="1">'Feuille Personnage'!J54</f>
        <v>38</v>
      </c>
      <c r="P18" s="375" t="str">
        <f>'Feuille Personnage'!N24</f>
        <v>Vigilance</v>
      </c>
      <c r="Q18" s="352"/>
      <c r="R18" s="353"/>
    </row>
    <row r="19" spans="2:20" ht="15.75" thickBot="1">
      <c r="B19" s="361" t="s">
        <v>187</v>
      </c>
      <c r="C19" s="357" t="s">
        <v>73</v>
      </c>
      <c r="D19" s="357" t="s">
        <v>73</v>
      </c>
      <c r="E19" s="358"/>
      <c r="F19" s="153" t="str">
        <f>VLOOKUP(B19,BD!$T$12:$U$36,2,FALSE)</f>
        <v>Soc</v>
      </c>
      <c r="G19" s="218">
        <f ca="1">'Feuille Personnage'!J28</f>
        <v>31</v>
      </c>
      <c r="I19" s="362" t="str">
        <f>Caracteristique!V13</f>
        <v xml:space="preserve"> </v>
      </c>
      <c r="J19" s="323"/>
      <c r="K19" s="323"/>
      <c r="L19" s="324"/>
      <c r="M19" s="207" t="e">
        <f>VLOOKUP(I19,BD!$W$12:$X$98,2,FALSE)</f>
        <v>#N/A</v>
      </c>
      <c r="N19" s="219" t="e">
        <f>'Feuille Personnage'!J55</f>
        <v>#N/A</v>
      </c>
      <c r="P19" s="375" t="str">
        <f>'Feuille Personnage'!N25</f>
        <v>Claquer le fouet</v>
      </c>
      <c r="Q19" s="352"/>
      <c r="R19" s="353"/>
    </row>
    <row r="20" spans="2:20" ht="15.75" thickBot="1">
      <c r="B20" s="361" t="s">
        <v>144</v>
      </c>
      <c r="C20" s="357" t="s">
        <v>144</v>
      </c>
      <c r="D20" s="357" t="s">
        <v>144</v>
      </c>
      <c r="E20" s="358"/>
      <c r="F20" s="153" t="str">
        <f>VLOOKUP(B20,BD!$T$12:$U$36,2,FALSE)</f>
        <v>FM</v>
      </c>
      <c r="G20" s="218">
        <f ca="1">'Feuille Personnage'!J29</f>
        <v>31</v>
      </c>
      <c r="L20" s="75"/>
      <c r="P20" s="375" t="str">
        <f>'Feuille Personnage'!N26</f>
        <v>Réflexes foudroyant</v>
      </c>
      <c r="Q20" s="352"/>
      <c r="R20" s="353"/>
    </row>
    <row r="21" spans="2:20" ht="15.75" thickBot="1">
      <c r="B21" s="361" t="s">
        <v>685</v>
      </c>
      <c r="C21" s="357" t="s">
        <v>137</v>
      </c>
      <c r="D21" s="357" t="s">
        <v>137</v>
      </c>
      <c r="E21" s="358"/>
      <c r="F21" s="153" t="str">
        <f>VLOOKUP(B21,BD!$T$12:$U$36,2,FALSE)</f>
        <v>Agi</v>
      </c>
      <c r="G21" s="218">
        <f ca="1">'Feuille Personnage'!J30</f>
        <v>47</v>
      </c>
      <c r="I21" s="336" t="s">
        <v>697</v>
      </c>
      <c r="J21" s="337"/>
      <c r="K21" s="337"/>
      <c r="L21" s="337"/>
      <c r="M21" s="337"/>
      <c r="N21" s="338"/>
      <c r="P21" s="429">
        <f>'Feuille Personnage'!N27</f>
        <v>0</v>
      </c>
      <c r="Q21" s="354"/>
      <c r="R21" s="355"/>
    </row>
    <row r="22" spans="2:20" ht="15.75" thickBot="1">
      <c r="B22" s="361" t="s">
        <v>72</v>
      </c>
      <c r="C22" s="357" t="s">
        <v>72</v>
      </c>
      <c r="D22" s="357" t="s">
        <v>72</v>
      </c>
      <c r="E22" s="358"/>
      <c r="F22" s="153" t="str">
        <f>VLOOKUP(B22,BD!$T$12:$U$36,2,FALSE)</f>
        <v>For</v>
      </c>
      <c r="G22" s="218">
        <f ca="1">'Feuille Personnage'!J31</f>
        <v>39</v>
      </c>
      <c r="I22" s="339" t="str">
        <f>CONCATENATE('Feuille Personnage'!M30,", ",'Feuille Personnage'!N30)</f>
        <v>Vêtements, Arme de poing, Dague, Bourse, Arme de poing, Veste de cuir , Cheval avec selle et fonte</v>
      </c>
      <c r="J22" s="340"/>
      <c r="K22" s="340"/>
      <c r="L22" s="340"/>
      <c r="M22" s="340"/>
      <c r="N22" s="341"/>
    </row>
    <row r="23" spans="2:20" ht="15.75" thickBot="1">
      <c r="B23" s="361" t="s">
        <v>138</v>
      </c>
      <c r="C23" s="357" t="s">
        <v>138</v>
      </c>
      <c r="D23" s="357" t="s">
        <v>138</v>
      </c>
      <c r="E23" s="358"/>
      <c r="F23" s="153" t="str">
        <f>VLOOKUP(B23,BD!$T$12:$U$36,2,FALSE)</f>
        <v>Agi</v>
      </c>
      <c r="G23" s="218">
        <f ca="1">'Feuille Personnage'!J32</f>
        <v>42</v>
      </c>
      <c r="I23" s="342"/>
      <c r="J23" s="343"/>
      <c r="K23" s="343"/>
      <c r="L23" s="343"/>
      <c r="M23" s="343"/>
      <c r="N23" s="344"/>
      <c r="P23" s="336" t="s">
        <v>733</v>
      </c>
      <c r="Q23" s="337"/>
      <c r="R23" s="338"/>
    </row>
    <row r="24" spans="2:20">
      <c r="B24" s="361" t="s">
        <v>139</v>
      </c>
      <c r="C24" s="357" t="s">
        <v>139</v>
      </c>
      <c r="D24" s="357" t="s">
        <v>139</v>
      </c>
      <c r="E24" s="358"/>
      <c r="F24" s="153" t="str">
        <f>VLOOKUP(B24,BD!$T$12:$U$36,2,FALSE)</f>
        <v>For</v>
      </c>
      <c r="G24" s="218">
        <f ca="1">'Feuille Personnage'!J33</f>
        <v>39</v>
      </c>
      <c r="I24" s="342"/>
      <c r="J24" s="343"/>
      <c r="K24" s="343"/>
      <c r="L24" s="343"/>
      <c r="M24" s="343"/>
      <c r="N24" s="344"/>
      <c r="P24" s="157" t="s">
        <v>428</v>
      </c>
      <c r="Q24" s="359" t="str">
        <f ca="1">'Feuille Personnage'!N17</f>
        <v>169 cm</v>
      </c>
      <c r="R24" s="360"/>
    </row>
    <row r="25" spans="2:20">
      <c r="B25" s="361" t="s">
        <v>74</v>
      </c>
      <c r="C25" s="357" t="s">
        <v>74</v>
      </c>
      <c r="D25" s="357" t="s">
        <v>74</v>
      </c>
      <c r="E25" s="358"/>
      <c r="F25" s="153" t="str">
        <f>VLOOKUP(B25,BD!$T$12:$U$36,2,FALSE)</f>
        <v>Ini</v>
      </c>
      <c r="G25" s="218">
        <f ca="1">'Feuille Personnage'!J34</f>
        <v>32</v>
      </c>
      <c r="I25" s="342"/>
      <c r="J25" s="343"/>
      <c r="K25" s="343"/>
      <c r="L25" s="343"/>
      <c r="M25" s="343"/>
      <c r="N25" s="344"/>
      <c r="P25" s="158" t="s">
        <v>429</v>
      </c>
      <c r="Q25" s="361" t="str">
        <f ca="1">'Feuille Personnage'!N18</f>
        <v>23 ans</v>
      </c>
      <c r="R25" s="358"/>
    </row>
    <row r="26" spans="2:20">
      <c r="B26" s="361" t="s">
        <v>140</v>
      </c>
      <c r="C26" s="357" t="s">
        <v>140</v>
      </c>
      <c r="D26" s="357" t="s">
        <v>140</v>
      </c>
      <c r="E26" s="358"/>
      <c r="F26" s="153" t="str">
        <f>VLOOKUP(B26,BD!$T$12:$U$36,2,FALSE)</f>
        <v>Int</v>
      </c>
      <c r="G26" s="218">
        <f ca="1">'Feuille Personnage'!J35</f>
        <v>33</v>
      </c>
      <c r="I26" s="342"/>
      <c r="J26" s="343"/>
      <c r="K26" s="343"/>
      <c r="L26" s="343"/>
      <c r="M26" s="343"/>
      <c r="N26" s="344"/>
      <c r="P26" s="158" t="s">
        <v>499</v>
      </c>
      <c r="Q26" s="361" t="str">
        <f ca="1">'Feuille Personnage'!N19</f>
        <v>Noisette</v>
      </c>
      <c r="R26" s="358"/>
    </row>
    <row r="27" spans="2:20" ht="15.75" thickBot="1">
      <c r="B27" s="361" t="s">
        <v>126</v>
      </c>
      <c r="C27" s="357" t="s">
        <v>126</v>
      </c>
      <c r="D27" s="357" t="s">
        <v>126</v>
      </c>
      <c r="E27" s="358"/>
      <c r="F27" s="153" t="str">
        <f>VLOOKUP(B27,BD!$T$12:$U$36,2,FALSE)</f>
        <v>Soc</v>
      </c>
      <c r="G27" s="218">
        <f ca="1">'Feuille Personnage'!J36</f>
        <v>31</v>
      </c>
      <c r="I27" s="342"/>
      <c r="J27" s="343"/>
      <c r="K27" s="343"/>
      <c r="L27" s="343"/>
      <c r="M27" s="343"/>
      <c r="N27" s="344"/>
      <c r="P27" s="78" t="s">
        <v>500</v>
      </c>
      <c r="Q27" s="362" t="str">
        <f ca="1">'Feuille Personnage'!N20</f>
        <v>Auburn</v>
      </c>
      <c r="R27" s="324"/>
    </row>
    <row r="28" spans="2:20" ht="15.75" thickBot="1">
      <c r="B28" s="361" t="s">
        <v>184</v>
      </c>
      <c r="C28" s="357" t="s">
        <v>141</v>
      </c>
      <c r="D28" s="357" t="s">
        <v>141</v>
      </c>
      <c r="E28" s="358"/>
      <c r="F28" s="153" t="str">
        <f>VLOOKUP(B28,BD!$T$12:$U$36,2,FALSE)</f>
        <v>CC</v>
      </c>
      <c r="G28" s="218">
        <f ca="1">'Feuille Personnage'!J37</f>
        <v>47</v>
      </c>
      <c r="I28" s="345"/>
      <c r="J28" s="346"/>
      <c r="K28" s="346"/>
      <c r="L28" s="346"/>
      <c r="M28" s="346"/>
      <c r="N28" s="347"/>
    </row>
    <row r="29" spans="2:20" ht="15.75" thickBot="1">
      <c r="B29" s="361" t="s">
        <v>142</v>
      </c>
      <c r="C29" s="357" t="s">
        <v>142</v>
      </c>
      <c r="D29" s="357" t="s">
        <v>142</v>
      </c>
      <c r="E29" s="358"/>
      <c r="F29" s="153" t="str">
        <f>VLOOKUP(B29,BD!$T$12:$U$36,2,FALSE)</f>
        <v>Int</v>
      </c>
      <c r="G29" s="218">
        <f ca="1">'Feuille Personnage'!J38</f>
        <v>33</v>
      </c>
      <c r="I29" s="220"/>
      <c r="J29" s="220"/>
      <c r="K29" s="220"/>
      <c r="L29" s="221"/>
    </row>
    <row r="30" spans="2:20" ht="15.75" thickBot="1">
      <c r="B30" s="361" t="s">
        <v>75</v>
      </c>
      <c r="C30" s="357" t="s">
        <v>75</v>
      </c>
      <c r="D30" s="357" t="s">
        <v>75</v>
      </c>
      <c r="E30" s="358"/>
      <c r="F30" s="153" t="str">
        <f>VLOOKUP(B30,BD!$T$12:$U$36,2,FALSE)</f>
        <v>Ini</v>
      </c>
      <c r="G30" s="218">
        <f ca="1">'Feuille Personnage'!J39</f>
        <v>37</v>
      </c>
      <c r="I30" s="384" t="s">
        <v>716</v>
      </c>
      <c r="J30" s="326"/>
      <c r="K30" s="326"/>
      <c r="L30" s="405"/>
      <c r="M30" s="244" t="s">
        <v>129</v>
      </c>
      <c r="N30" s="245" t="s">
        <v>730</v>
      </c>
      <c r="O30" s="246" t="s">
        <v>705</v>
      </c>
      <c r="P30" s="325" t="s">
        <v>603</v>
      </c>
      <c r="Q30" s="326"/>
      <c r="R30" s="326"/>
      <c r="S30" s="326"/>
      <c r="T30" s="327"/>
    </row>
    <row r="31" spans="2:20">
      <c r="B31" s="361" t="s">
        <v>143</v>
      </c>
      <c r="C31" s="357" t="s">
        <v>143</v>
      </c>
      <c r="D31" s="357" t="s">
        <v>143</v>
      </c>
      <c r="E31" s="358"/>
      <c r="F31" s="153" t="s">
        <v>12</v>
      </c>
      <c r="G31" s="218">
        <f ca="1">'Feuille Personnage'!J40</f>
        <v>31</v>
      </c>
      <c r="I31" s="363" t="str">
        <f>'Feuille Personnage'!B58</f>
        <v>Dague</v>
      </c>
      <c r="J31" s="364"/>
      <c r="K31" s="364"/>
      <c r="L31" s="406"/>
      <c r="M31" s="204" t="str">
        <f>'Feuille Personnage'!F58</f>
        <v>CC</v>
      </c>
      <c r="N31" s="214">
        <f ca="1">'Feuille Personnage'!G58</f>
        <v>47</v>
      </c>
      <c r="O31" s="205" t="str">
        <f ca="1">'Feuille Personnage'!H58</f>
        <v>1D10 + 5</v>
      </c>
      <c r="P31" s="359" t="str">
        <f>'Feuille Personnage'!I58</f>
        <v xml:space="preserve"> </v>
      </c>
      <c r="Q31" s="370"/>
      <c r="R31" s="370"/>
      <c r="S31" s="370"/>
      <c r="T31" s="360"/>
    </row>
    <row r="32" spans="2:20">
      <c r="B32" s="361" t="s">
        <v>145</v>
      </c>
      <c r="C32" s="357" t="s">
        <v>145</v>
      </c>
      <c r="D32" s="357" t="s">
        <v>145</v>
      </c>
      <c r="E32" s="358"/>
      <c r="F32" s="153" t="str">
        <f>VLOOKUP(B32,BD!$T$12:$U$36,2,FALSE)</f>
        <v>End</v>
      </c>
      <c r="G32" s="218">
        <f ca="1">'Feuille Personnage'!J41</f>
        <v>31</v>
      </c>
      <c r="I32" s="361" t="str">
        <f>'Feuille Personnage'!B59</f>
        <v>Arme de poing</v>
      </c>
      <c r="J32" s="357"/>
      <c r="K32" s="357"/>
      <c r="L32" s="366"/>
      <c r="M32" s="206" t="str">
        <f>'Feuille Personnage'!F59</f>
        <v>CC</v>
      </c>
      <c r="N32" s="201">
        <f ca="1">'Feuille Personnage'!G59</f>
        <v>47</v>
      </c>
      <c r="O32" s="202" t="str">
        <f ca="1">'Feuille Personnage'!H59</f>
        <v>1D10 + 7</v>
      </c>
      <c r="P32" s="363" t="str">
        <f>'Feuille Personnage'!I59</f>
        <v xml:space="preserve"> </v>
      </c>
      <c r="Q32" s="364"/>
      <c r="R32" s="364"/>
      <c r="S32" s="364"/>
      <c r="T32" s="365"/>
    </row>
    <row r="33" spans="2:20" ht="15.75" thickBot="1">
      <c r="B33" s="362" t="s">
        <v>146</v>
      </c>
      <c r="C33" s="323" t="s">
        <v>146</v>
      </c>
      <c r="D33" s="323" t="s">
        <v>146</v>
      </c>
      <c r="E33" s="324"/>
      <c r="F33" s="149" t="str">
        <f>VLOOKUP(B33,BD!$T$12:$U$36,2,FALSE)</f>
        <v>Int</v>
      </c>
      <c r="G33" s="219">
        <f ca="1">'Feuille Personnage'!J42</f>
        <v>38</v>
      </c>
      <c r="I33" s="362" t="str">
        <f>'Feuille Personnage'!B60</f>
        <v/>
      </c>
      <c r="J33" s="323"/>
      <c r="K33" s="323"/>
      <c r="L33" s="394"/>
      <c r="M33" s="207" t="str">
        <f>'Feuille Personnage'!F60</f>
        <v/>
      </c>
      <c r="N33" s="210" t="str">
        <f>'Feuille Personnage'!G60</f>
        <v/>
      </c>
      <c r="O33" s="208" t="e">
        <f ca="1">'Feuille Personnage'!H60</f>
        <v>#N/A</v>
      </c>
      <c r="P33" s="431" t="e">
        <f>'Feuille Personnage'!I60</f>
        <v>#N/A</v>
      </c>
      <c r="Q33" s="432"/>
      <c r="R33" s="432"/>
      <c r="S33" s="432"/>
      <c r="T33" s="433"/>
    </row>
    <row r="34" spans="2:20" ht="15.75" thickBot="1">
      <c r="I34" s="395"/>
      <c r="J34" s="395"/>
      <c r="K34" s="395"/>
      <c r="L34" s="395"/>
      <c r="M34" s="209"/>
      <c r="N34" s="209"/>
      <c r="O34" s="209"/>
      <c r="P34" s="209"/>
      <c r="Q34" s="209"/>
      <c r="R34" s="209"/>
      <c r="S34" s="209"/>
      <c r="T34" s="209"/>
    </row>
    <row r="35" spans="2:20" ht="15.75" thickBot="1">
      <c r="B35" s="384" t="s">
        <v>844</v>
      </c>
      <c r="C35" s="326"/>
      <c r="D35" s="326"/>
      <c r="E35" s="327"/>
      <c r="H35" s="384" t="s">
        <v>717</v>
      </c>
      <c r="I35" s="326"/>
      <c r="J35" s="326"/>
      <c r="K35" s="405"/>
      <c r="L35" s="244" t="s">
        <v>129</v>
      </c>
      <c r="M35" s="245" t="s">
        <v>730</v>
      </c>
      <c r="N35" s="246" t="s">
        <v>705</v>
      </c>
      <c r="O35" s="246" t="s">
        <v>614</v>
      </c>
      <c r="P35" s="325" t="s">
        <v>603</v>
      </c>
      <c r="Q35" s="326"/>
      <c r="R35" s="326"/>
      <c r="S35" s="326"/>
      <c r="T35" s="327"/>
    </row>
    <row r="36" spans="2:20">
      <c r="B36" s="359" t="str">
        <f>'Feuille Personnage'!B67</f>
        <v>Veste de cuir</v>
      </c>
      <c r="C36" s="370"/>
      <c r="D36" s="370"/>
      <c r="E36" s="360"/>
      <c r="H36" s="363" t="str">
        <f>'Feuille Personnage'!B63</f>
        <v/>
      </c>
      <c r="I36" s="364"/>
      <c r="J36" s="364"/>
      <c r="K36" s="406"/>
      <c r="L36" s="204" t="str">
        <f>'Feuille Personnage'!F63</f>
        <v/>
      </c>
      <c r="M36" s="214" t="str">
        <f>'Feuille Personnage'!G63</f>
        <v/>
      </c>
      <c r="N36" s="214" t="e">
        <f>'Feuille Personnage'!H63</f>
        <v>#N/A</v>
      </c>
      <c r="O36" s="205"/>
      <c r="P36" s="430">
        <f>'Feuille Personnage'!J63</f>
        <v>0</v>
      </c>
      <c r="Q36" s="364"/>
      <c r="R36" s="364"/>
      <c r="S36" s="364"/>
      <c r="T36" s="365"/>
    </row>
    <row r="37" spans="2:20" ht="15.75" thickBot="1">
      <c r="B37" s="361" t="str">
        <f>'Feuille Personnage'!B68</f>
        <v/>
      </c>
      <c r="C37" s="357"/>
      <c r="D37" s="357"/>
      <c r="E37" s="358"/>
      <c r="H37" s="362" t="str">
        <f>'Feuille Personnage'!B64</f>
        <v/>
      </c>
      <c r="I37" s="323"/>
      <c r="J37" s="323"/>
      <c r="K37" s="394"/>
      <c r="L37" s="207" t="str">
        <f>'Feuille Personnage'!F64</f>
        <v/>
      </c>
      <c r="M37" s="210" t="str">
        <f>'Feuille Personnage'!G64</f>
        <v/>
      </c>
      <c r="N37" s="210" t="e">
        <f>'Feuille Personnage'!H64</f>
        <v>#N/A</v>
      </c>
      <c r="O37" s="208"/>
      <c r="P37" s="322">
        <f>'Feuille Personnage'!J64</f>
        <v>0</v>
      </c>
      <c r="Q37" s="323"/>
      <c r="R37" s="323"/>
      <c r="S37" s="323"/>
      <c r="T37" s="324"/>
    </row>
    <row r="38" spans="2:20" ht="15.75" thickBot="1">
      <c r="B38" s="362" t="str">
        <f>'Feuille Personnage'!B69</f>
        <v/>
      </c>
      <c r="C38" s="323"/>
      <c r="D38" s="323"/>
      <c r="E38" s="324"/>
    </row>
    <row r="39" spans="2:20" ht="15.75" thickBot="1">
      <c r="B39" s="300" t="s">
        <v>810</v>
      </c>
      <c r="C39" s="301" t="s">
        <v>811</v>
      </c>
      <c r="D39" s="301" t="s">
        <v>812</v>
      </c>
      <c r="E39" s="302" t="s">
        <v>813</v>
      </c>
    </row>
    <row r="40" spans="2:20" ht="15.75" thickBot="1">
      <c r="B40" s="211">
        <f>IFERROR('Feuille Personnage'!F67,0)+IFERROR('Feuille Personnage'!F68,0)+IFERROR('Feuille Personnage'!F69,0)</f>
        <v>0</v>
      </c>
      <c r="C40" s="212">
        <f>IFERROR('Feuille Personnage'!G67,0)+IFERROR('Feuille Personnage'!G68,0)+IFERROR('Feuille Personnage'!G69,0)</f>
        <v>1</v>
      </c>
      <c r="D40" s="212">
        <f>IFERROR('Feuille Personnage'!H67,0)+IFERROR('Feuille Personnage'!H68,0)+IFERROR('Feuille Personnage'!H69,0)</f>
        <v>0</v>
      </c>
      <c r="E40" s="213">
        <f>IFERROR('Feuille Personnage'!I67,0)+IFERROR('Feuille Personnage'!I68,0)+IFERROR('Feuille Personnage'!I69,0)</f>
        <v>1</v>
      </c>
      <c r="F40" s="203"/>
      <c r="G40" s="203"/>
    </row>
    <row r="41" spans="2:20" ht="15.75" thickBot="1">
      <c r="B41" s="434" t="s">
        <v>75</v>
      </c>
      <c r="C41" s="435"/>
      <c r="D41" s="435" t="s">
        <v>136</v>
      </c>
      <c r="E41" s="436"/>
    </row>
    <row r="42" spans="2:20" ht="15.75" thickBot="1">
      <c r="B42" s="431" t="str">
        <f>CONCATENATE(IFERROR('Feuille Personnage'!J67,0)+IFERROR('Feuille Personnage'!J68,0)+IFERROR('Feuille Personnage'!J69,0)," %")</f>
        <v>0 %</v>
      </c>
      <c r="C42" s="432"/>
      <c r="D42" s="432" t="str">
        <f>CONCATENATE(IFERROR('Feuille Personnage'!K67,0)+IFERROR('Feuille Personnage'!K68,0)+IFERROR('Feuille Personnage'!K69,0)," %")</f>
        <v>0 %</v>
      </c>
      <c r="E42" s="433"/>
    </row>
  </sheetData>
  <mergeCells count="93">
    <mergeCell ref="B42:C42"/>
    <mergeCell ref="D42:E42"/>
    <mergeCell ref="B35:E35"/>
    <mergeCell ref="B36:E36"/>
    <mergeCell ref="B37:E37"/>
    <mergeCell ref="B38:E38"/>
    <mergeCell ref="B41:C41"/>
    <mergeCell ref="D41:E41"/>
    <mergeCell ref="H36:K36"/>
    <mergeCell ref="P36:T36"/>
    <mergeCell ref="H37:K37"/>
    <mergeCell ref="P37:T37"/>
    <mergeCell ref="P23:R23"/>
    <mergeCell ref="I33:L33"/>
    <mergeCell ref="P33:T33"/>
    <mergeCell ref="I34:L34"/>
    <mergeCell ref="H35:K35"/>
    <mergeCell ref="P35:T35"/>
    <mergeCell ref="I30:L30"/>
    <mergeCell ref="P30:T30"/>
    <mergeCell ref="I31:L31"/>
    <mergeCell ref="P31:T31"/>
    <mergeCell ref="I32:L32"/>
    <mergeCell ref="P32:T32"/>
    <mergeCell ref="B23:E23"/>
    <mergeCell ref="B24:E24"/>
    <mergeCell ref="B13:E13"/>
    <mergeCell ref="B14:E14"/>
    <mergeCell ref="B15:E15"/>
    <mergeCell ref="B16:E16"/>
    <mergeCell ref="B17:E17"/>
    <mergeCell ref="B18:E18"/>
    <mergeCell ref="B31:E31"/>
    <mergeCell ref="B32:E32"/>
    <mergeCell ref="B33:E33"/>
    <mergeCell ref="I8:L8"/>
    <mergeCell ref="I9:L9"/>
    <mergeCell ref="I10:L10"/>
    <mergeCell ref="B25:E25"/>
    <mergeCell ref="B26:E26"/>
    <mergeCell ref="B27:E27"/>
    <mergeCell ref="B28:E28"/>
    <mergeCell ref="B29:E29"/>
    <mergeCell ref="B30:E30"/>
    <mergeCell ref="B19:E19"/>
    <mergeCell ref="B20:E20"/>
    <mergeCell ref="B21:E21"/>
    <mergeCell ref="B22:E22"/>
    <mergeCell ref="Q24:R24"/>
    <mergeCell ref="Q25:R25"/>
    <mergeCell ref="Q26:R26"/>
    <mergeCell ref="Q27:R27"/>
    <mergeCell ref="I11:L11"/>
    <mergeCell ref="I12:L12"/>
    <mergeCell ref="I13:L13"/>
    <mergeCell ref="I14:L14"/>
    <mergeCell ref="I15:L15"/>
    <mergeCell ref="I16:L16"/>
    <mergeCell ref="P20:R20"/>
    <mergeCell ref="P21:R21"/>
    <mergeCell ref="I17:L17"/>
    <mergeCell ref="I18:L18"/>
    <mergeCell ref="I19:L19"/>
    <mergeCell ref="P16:R16"/>
    <mergeCell ref="B2:C2"/>
    <mergeCell ref="D2:E2"/>
    <mergeCell ref="B3:C3"/>
    <mergeCell ref="D3:E3"/>
    <mergeCell ref="P19:R19"/>
    <mergeCell ref="B8:E8"/>
    <mergeCell ref="B9:E9"/>
    <mergeCell ref="B10:E10"/>
    <mergeCell ref="B11:E11"/>
    <mergeCell ref="B12:E12"/>
    <mergeCell ref="I3:J3"/>
    <mergeCell ref="G3:H3"/>
    <mergeCell ref="O2:P2"/>
    <mergeCell ref="O3:P3"/>
    <mergeCell ref="P18:R18"/>
    <mergeCell ref="P17:R17"/>
    <mergeCell ref="P8:R8"/>
    <mergeCell ref="P14:R14"/>
    <mergeCell ref="P9:R9"/>
    <mergeCell ref="P10:R10"/>
    <mergeCell ref="P11:R11"/>
    <mergeCell ref="P12:R12"/>
    <mergeCell ref="P13:R13"/>
    <mergeCell ref="G2:H2"/>
    <mergeCell ref="I2:J2"/>
    <mergeCell ref="I21:N21"/>
    <mergeCell ref="I22:N28"/>
    <mergeCell ref="L2:M2"/>
    <mergeCell ref="L3:M3"/>
  </mergeCells>
  <conditionalFormatting sqref="M9:M19 I9:I19 I30:I34 H35:H37 M35:P35">
    <cfRule type="containsErrors" dxfId="13" priority="11">
      <formula>ISERROR(H9)</formula>
    </cfRule>
  </conditionalFormatting>
  <conditionalFormatting sqref="P17:R21">
    <cfRule type="cellIs" dxfId="12" priority="10" operator="equal">
      <formula>0</formula>
    </cfRule>
  </conditionalFormatting>
  <conditionalFormatting sqref="N30:P30">
    <cfRule type="containsErrors" dxfId="11" priority="9">
      <formula>ISERROR(N30)</formula>
    </cfRule>
  </conditionalFormatting>
  <conditionalFormatting sqref="P31:P33">
    <cfRule type="containsErrors" dxfId="10" priority="8">
      <formula>ISERROR(P31)</formula>
    </cfRule>
  </conditionalFormatting>
  <conditionalFormatting sqref="P36:P37">
    <cfRule type="containsErrors" dxfId="9" priority="7">
      <formula>ISERROR(P36)</formula>
    </cfRule>
  </conditionalFormatting>
  <conditionalFormatting sqref="I16:N19 I31:O33 H36:N37">
    <cfRule type="containsErrors" dxfId="8" priority="6">
      <formula>ISERROR(H16)</formula>
    </cfRule>
  </conditionalFormatting>
  <conditionalFormatting sqref="O36:O37">
    <cfRule type="containsErrors" dxfId="7" priority="5">
      <formula>ISERROR(O36)</formula>
    </cfRule>
  </conditionalFormatting>
  <conditionalFormatting sqref="P36:T37">
    <cfRule type="cellIs" dxfId="6" priority="4" operator="equal">
      <formula>0</formula>
    </cfRule>
  </conditionalFormatting>
  <conditionalFormatting sqref="B35">
    <cfRule type="containsErrors" dxfId="5" priority="3">
      <formula>ISERROR(B35)</formula>
    </cfRule>
  </conditionalFormatting>
  <conditionalFormatting sqref="B36:B38">
    <cfRule type="containsErrors" dxfId="4" priority="2">
      <formula>ISERROR(B36)</formula>
    </cfRule>
  </conditionalFormatting>
  <conditionalFormatting sqref="B36:E38">
    <cfRule type="containsErrors" dxfId="3" priority="1">
      <formula>ISERROR(B36)</formula>
    </cfRule>
  </conditionalFormatting>
  <pageMargins left="0.7" right="0.7" top="0.75" bottom="0.75" header="0.3" footer="0.3"/>
  <pageSetup paperSize="9" scale="58" orientation="portrait" horizontalDpi="4294967293" verticalDpi="0" r:id="rId1"/>
  <ignoredErrors>
    <ignoredError sqref="M18:M19 M33:T33 N19 M32:T32 N36:N3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B476-212C-45C8-BDEE-A765CA8A6287}">
  <dimension ref="A2:V161"/>
  <sheetViews>
    <sheetView topLeftCell="A21" zoomScale="85" zoomScaleNormal="85" workbookViewId="0">
      <selection activeCell="K158" sqref="K158"/>
    </sheetView>
  </sheetViews>
  <sheetFormatPr baseColWidth="10" defaultColWidth="4" defaultRowHeight="15"/>
  <cols>
    <col min="1" max="1" width="20.28515625" customWidth="1"/>
    <col min="2" max="2" width="8.28515625" bestFit="1" customWidth="1"/>
    <col min="3" max="3" width="4.42578125" bestFit="1" customWidth="1"/>
    <col min="4" max="4" width="9.5703125" bestFit="1" customWidth="1"/>
    <col min="5" max="6" width="4.42578125" bestFit="1" customWidth="1"/>
    <col min="7" max="7" width="4.28515625" bestFit="1" customWidth="1"/>
    <col min="8" max="10" width="4.42578125" bestFit="1" customWidth="1"/>
    <col min="11" max="11" width="4" bestFit="1" customWidth="1"/>
    <col min="12" max="12" width="3" bestFit="1" customWidth="1"/>
    <col min="14" max="14" width="10.7109375" customWidth="1"/>
    <col min="17" max="17" width="22.85546875" bestFit="1" customWidth="1"/>
    <col min="18" max="18" width="30" bestFit="1" customWidth="1"/>
    <col min="19" max="19" width="2" bestFit="1" customWidth="1"/>
    <col min="20" max="20" width="30" bestFit="1" customWidth="1"/>
    <col min="21" max="21" width="4.42578125" bestFit="1" customWidth="1"/>
    <col min="22" max="22" width="30" bestFit="1" customWidth="1"/>
  </cols>
  <sheetData>
    <row r="2" spans="1:22" ht="15.75" thickBot="1"/>
    <row r="3" spans="1:22" ht="15.75" thickBot="1">
      <c r="A3" s="24"/>
      <c r="B3" s="438" t="s">
        <v>161</v>
      </c>
      <c r="C3" s="439"/>
      <c r="D3" s="439" t="s">
        <v>15</v>
      </c>
      <c r="E3" s="439"/>
      <c r="F3" s="439" t="s">
        <v>14</v>
      </c>
      <c r="G3" s="443"/>
      <c r="J3" s="90" t="s">
        <v>3</v>
      </c>
      <c r="K3" s="20">
        <f ca="1">'Feuille Personnage'!B7</f>
        <v>34</v>
      </c>
      <c r="L3" s="106">
        <f ca="1">'Feuille Personnage'!B10</f>
        <v>39</v>
      </c>
      <c r="Q3" s="109" t="s">
        <v>71</v>
      </c>
      <c r="R3" s="5" t="str">
        <f>'Feuille Personnage'!M39</f>
        <v>Guérison des animaux</v>
      </c>
      <c r="S3" s="5">
        <f>COUNTIF($Q$3:$Q$27,Caracteristique!R3)</f>
        <v>0</v>
      </c>
      <c r="T3" s="5" t="str">
        <f>IF(S3=0,R3," ")</f>
        <v>Guérison des animaux</v>
      </c>
      <c r="U3" s="5" cm="1">
        <f t="array" ref="U3:V22">_xlfn._xlws.SORT(S3:T22)</f>
        <v>0</v>
      </c>
      <c r="V3" s="5" t="str">
        <v>Guérison des animaux</v>
      </c>
    </row>
    <row r="4" spans="1:22">
      <c r="A4" s="23" t="s">
        <v>3</v>
      </c>
      <c r="B4" s="430">
        <f t="shared" ref="B4:B13" ca="1" si="0">RANK(D4,$D$4:$E$13)</f>
        <v>2</v>
      </c>
      <c r="C4" s="364"/>
      <c r="D4" s="364">
        <f t="shared" ref="D4:D13" ca="1" si="1">RANDBETWEEN(1,10)+RANDBETWEEN(1,10)</f>
        <v>14</v>
      </c>
      <c r="E4" s="364"/>
      <c r="F4" s="364">
        <f>BD!C2</f>
        <v>20</v>
      </c>
      <c r="G4" s="365"/>
      <c r="J4" s="89" t="s">
        <v>4</v>
      </c>
      <c r="K4" s="21">
        <f ca="1">'Feuille Personnage'!C7</f>
        <v>34</v>
      </c>
      <c r="L4" s="107">
        <f ca="1">'Feuille Personnage'!C10</f>
        <v>39</v>
      </c>
      <c r="Q4" s="5" t="s">
        <v>130</v>
      </c>
      <c r="R4" s="5" t="str">
        <f>'Feuille Personnage'!M40</f>
        <v>Charme</v>
      </c>
      <c r="S4" s="5">
        <f>COUNTIF($Q$3:$Q$27,Caracteristique!R4)</f>
        <v>1</v>
      </c>
      <c r="T4" s="5" t="str">
        <f t="shared" ref="T4:T22" si="2">IF(S4=0,R4," ")</f>
        <v xml:space="preserve"> </v>
      </c>
      <c r="U4" s="5">
        <v>0</v>
      </c>
      <c r="V4" s="5" t="str">
        <v>Evaluation</v>
      </c>
    </row>
    <row r="5" spans="1:22">
      <c r="A5" s="21" t="s">
        <v>4</v>
      </c>
      <c r="B5" s="356">
        <f t="shared" ca="1" si="0"/>
        <v>10</v>
      </c>
      <c r="C5" s="357"/>
      <c r="D5" s="357">
        <f t="shared" ca="1" si="1"/>
        <v>6</v>
      </c>
      <c r="E5" s="357"/>
      <c r="F5" s="357">
        <f>BD!C3</f>
        <v>20</v>
      </c>
      <c r="G5" s="358"/>
      <c r="J5" s="89" t="s">
        <v>6</v>
      </c>
      <c r="K5" s="21">
        <f ca="1">'Feuille Personnage'!D7</f>
        <v>34</v>
      </c>
      <c r="L5" s="107">
        <f ca="1">'Feuille Personnage'!D10</f>
        <v>39</v>
      </c>
      <c r="Q5" s="5" t="s">
        <v>127</v>
      </c>
      <c r="R5" s="5" t="str">
        <f>'Feuille Personnage'!M41</f>
        <v>Calme</v>
      </c>
      <c r="S5" s="5">
        <f>COUNTIF($Q$3:$Q$27,Caracteristique!R5)</f>
        <v>1</v>
      </c>
      <c r="T5" s="5" t="str">
        <f t="shared" si="2"/>
        <v xml:space="preserve"> </v>
      </c>
      <c r="U5" s="5">
        <v>0</v>
      </c>
      <c r="V5" s="5" t="str">
        <v>Langue (Bretonnien)</v>
      </c>
    </row>
    <row r="6" spans="1:22">
      <c r="A6" s="21" t="s">
        <v>6</v>
      </c>
      <c r="B6" s="356">
        <f t="shared" ca="1" si="0"/>
        <v>1</v>
      </c>
      <c r="C6" s="357"/>
      <c r="D6" s="357">
        <f t="shared" ca="1" si="1"/>
        <v>17</v>
      </c>
      <c r="E6" s="357"/>
      <c r="F6" s="357">
        <f>BD!C4</f>
        <v>20</v>
      </c>
      <c r="G6" s="358"/>
      <c r="J6" s="89" t="s">
        <v>5</v>
      </c>
      <c r="K6" s="21">
        <f ca="1">'Feuille Personnage'!E7</f>
        <v>31</v>
      </c>
      <c r="L6" s="107">
        <f ca="1">'Feuille Personnage'!E10</f>
        <v>31</v>
      </c>
      <c r="Q6" s="5" t="s">
        <v>131</v>
      </c>
      <c r="R6" s="5" t="str">
        <f>'Feuille Personnage'!M42</f>
        <v>Evaluation</v>
      </c>
      <c r="S6" s="5">
        <f>COUNTIF($Q$3:$Q$27,Caracteristique!R6)</f>
        <v>0</v>
      </c>
      <c r="T6" s="5" t="str">
        <f t="shared" si="2"/>
        <v>Evaluation</v>
      </c>
      <c r="U6" s="5">
        <v>0</v>
      </c>
      <c r="V6" s="5" t="str">
        <v>Langue (Principauté Frontalière)</v>
      </c>
    </row>
    <row r="7" spans="1:22">
      <c r="A7" s="21" t="s">
        <v>5</v>
      </c>
      <c r="B7" s="356">
        <f t="shared" ca="1" si="0"/>
        <v>6</v>
      </c>
      <c r="C7" s="357"/>
      <c r="D7" s="357">
        <f t="shared" ca="1" si="1"/>
        <v>11</v>
      </c>
      <c r="E7" s="357"/>
      <c r="F7" s="357">
        <f>BD!C5</f>
        <v>20</v>
      </c>
      <c r="G7" s="358"/>
      <c r="J7" s="89" t="s">
        <v>7</v>
      </c>
      <c r="K7" s="21">
        <f ca="1">'Feuille Personnage'!F7</f>
        <v>37</v>
      </c>
      <c r="L7" s="107">
        <f ca="1">'Feuille Personnage'!F10</f>
        <v>42</v>
      </c>
      <c r="Q7" s="5" t="s">
        <v>132</v>
      </c>
      <c r="R7" s="5" t="str">
        <f>'Feuille Personnage'!M43</f>
        <v>Commérages</v>
      </c>
      <c r="S7" s="5">
        <f>COUNTIF($Q$3:$Q$27,Caracteristique!R7)</f>
        <v>1</v>
      </c>
      <c r="T7" s="5" t="str">
        <f t="shared" si="2"/>
        <v xml:space="preserve"> </v>
      </c>
      <c r="U7" s="5">
        <v>0</v>
      </c>
      <c r="V7" s="5" t="str">
        <v>Connaissance (Reikland)</v>
      </c>
    </row>
    <row r="8" spans="1:22">
      <c r="A8" s="21" t="s">
        <v>7</v>
      </c>
      <c r="B8" s="356">
        <f t="shared" ca="1" si="0"/>
        <v>8</v>
      </c>
      <c r="C8" s="357"/>
      <c r="D8" s="357">
        <f t="shared" ca="1" si="1"/>
        <v>9</v>
      </c>
      <c r="E8" s="357"/>
      <c r="F8" s="357">
        <f>BD!C6</f>
        <v>20</v>
      </c>
      <c r="G8" s="358"/>
      <c r="J8" s="89" t="s">
        <v>8</v>
      </c>
      <c r="K8" s="21">
        <f ca="1">'Feuille Personnage'!G7</f>
        <v>32</v>
      </c>
      <c r="L8" s="107">
        <f ca="1">'Feuille Personnage'!G10</f>
        <v>32</v>
      </c>
      <c r="Q8" s="5" t="s">
        <v>125</v>
      </c>
      <c r="R8" s="5" t="str">
        <f>'Feuille Personnage'!M44</f>
        <v>Marchandage</v>
      </c>
      <c r="S8" s="5">
        <f>COUNTIF($Q$3:$Q$27,Caracteristique!R8)</f>
        <v>1</v>
      </c>
      <c r="T8" s="5" t="str">
        <f t="shared" si="2"/>
        <v xml:space="preserve"> </v>
      </c>
      <c r="U8" s="5">
        <v>0</v>
      </c>
      <c r="V8" s="5" t="str">
        <v>A Distance (Arc)</v>
      </c>
    </row>
    <row r="9" spans="1:22">
      <c r="A9" s="21" t="s">
        <v>8</v>
      </c>
      <c r="B9" s="356">
        <f t="shared" ca="1" si="0"/>
        <v>2</v>
      </c>
      <c r="C9" s="357"/>
      <c r="D9" s="357">
        <f t="shared" ca="1" si="1"/>
        <v>14</v>
      </c>
      <c r="E9" s="357"/>
      <c r="F9" s="357">
        <f>BD!C7</f>
        <v>20</v>
      </c>
      <c r="G9" s="358"/>
      <c r="J9" s="89" t="s">
        <v>9</v>
      </c>
      <c r="K9" s="21">
        <f ca="1">'Feuille Personnage'!H7</f>
        <v>29</v>
      </c>
      <c r="L9" s="107">
        <f ca="1">'Feuille Personnage'!H10</f>
        <v>29</v>
      </c>
      <c r="Q9" s="5" t="s">
        <v>133</v>
      </c>
      <c r="R9" s="5" t="str">
        <f>'Feuille Personnage'!M45</f>
        <v>Langue (Bretonnien)</v>
      </c>
      <c r="S9" s="5">
        <f>COUNTIF($Q$3:$Q$27,Caracteristique!R9)</f>
        <v>0</v>
      </c>
      <c r="T9" s="5" t="str">
        <f t="shared" si="2"/>
        <v>Langue (Bretonnien)</v>
      </c>
      <c r="U9" s="5">
        <v>0</v>
      </c>
      <c r="V9" s="5" t="str">
        <v>Equitation</v>
      </c>
    </row>
    <row r="10" spans="1:22">
      <c r="A10" s="21" t="s">
        <v>9</v>
      </c>
      <c r="B10" s="356">
        <f t="shared" ca="1" si="0"/>
        <v>9</v>
      </c>
      <c r="C10" s="357"/>
      <c r="D10" s="357">
        <f t="shared" ca="1" si="1"/>
        <v>8</v>
      </c>
      <c r="E10" s="357"/>
      <c r="F10" s="357">
        <f>BD!C8</f>
        <v>20</v>
      </c>
      <c r="G10" s="358"/>
      <c r="J10" s="89" t="s">
        <v>10</v>
      </c>
      <c r="K10" s="21">
        <f ca="1">'Feuille Personnage'!I7</f>
        <v>28</v>
      </c>
      <c r="L10" s="107">
        <f ca="1">'Feuille Personnage'!I10</f>
        <v>33</v>
      </c>
      <c r="Q10" s="5" t="s">
        <v>134</v>
      </c>
      <c r="R10" s="5" t="str">
        <f>'Feuille Personnage'!M46</f>
        <v>Langue (Principauté Frontalière)</v>
      </c>
      <c r="S10" s="5">
        <f>COUNTIF($Q$3:$Q$27,Caracteristique!R10)</f>
        <v>0</v>
      </c>
      <c r="T10" s="5" t="str">
        <f t="shared" si="2"/>
        <v>Langue (Principauté Frontalière)</v>
      </c>
      <c r="U10" s="5">
        <v>0</v>
      </c>
      <c r="V10" s="5" t="str">
        <v>Guérison des animaux</v>
      </c>
    </row>
    <row r="11" spans="1:22">
      <c r="A11" s="21" t="s">
        <v>10</v>
      </c>
      <c r="B11" s="356">
        <f t="shared" ca="1" si="0"/>
        <v>5</v>
      </c>
      <c r="C11" s="357"/>
      <c r="D11" s="357">
        <f t="shared" ca="1" si="1"/>
        <v>12</v>
      </c>
      <c r="E11" s="357"/>
      <c r="F11" s="357">
        <f>BD!C9</f>
        <v>20</v>
      </c>
      <c r="G11" s="358"/>
      <c r="J11" s="89" t="s">
        <v>11</v>
      </c>
      <c r="K11" s="21">
        <f ca="1">'Feuille Personnage'!J7</f>
        <v>26</v>
      </c>
      <c r="L11" s="107">
        <f ca="1">'Feuille Personnage'!J10</f>
        <v>26</v>
      </c>
      <c r="Q11" s="5" t="s">
        <v>135</v>
      </c>
      <c r="R11" s="5" t="str">
        <f>'Feuille Personnage'!M47</f>
        <v>Commandement</v>
      </c>
      <c r="S11" s="5">
        <f>COUNTIF($Q$3:$Q$27,Caracteristique!R11)</f>
        <v>1</v>
      </c>
      <c r="T11" s="5" t="str">
        <f t="shared" si="2"/>
        <v xml:space="preserve"> </v>
      </c>
      <c r="U11" s="5">
        <v>0</v>
      </c>
      <c r="V11" s="5" t="str">
        <v>Endurance</v>
      </c>
    </row>
    <row r="12" spans="1:22" ht="15.75" thickBot="1">
      <c r="A12" s="21" t="s">
        <v>11</v>
      </c>
      <c r="B12" s="356">
        <f t="shared" ca="1" si="0"/>
        <v>2</v>
      </c>
      <c r="C12" s="357"/>
      <c r="D12" s="357">
        <f t="shared" ca="1" si="1"/>
        <v>14</v>
      </c>
      <c r="E12" s="357"/>
      <c r="F12" s="357">
        <f>BD!C10</f>
        <v>20</v>
      </c>
      <c r="G12" s="358"/>
      <c r="J12" s="78" t="s">
        <v>12</v>
      </c>
      <c r="K12" s="22">
        <f ca="1">'Feuille Personnage'!K7</f>
        <v>31</v>
      </c>
      <c r="L12" s="108">
        <f ca="1">'Feuille Personnage'!K10</f>
        <v>31</v>
      </c>
      <c r="Q12" s="5" t="s">
        <v>136</v>
      </c>
      <c r="R12" s="5" t="str">
        <f>'Feuille Personnage'!M48</f>
        <v>Connaissance (Reikland)</v>
      </c>
      <c r="S12" s="5">
        <f>COUNTIF($Q$3:$Q$27,Caracteristique!R12)</f>
        <v>0</v>
      </c>
      <c r="T12" s="5" t="str">
        <f t="shared" si="2"/>
        <v>Connaissance (Reikland)</v>
      </c>
      <c r="U12" s="5">
        <v>0</v>
      </c>
      <c r="V12" s="5" t="str">
        <v>Langue (Bataille)</v>
      </c>
    </row>
    <row r="13" spans="1:22">
      <c r="A13" s="21" t="s">
        <v>12</v>
      </c>
      <c r="B13" s="356">
        <f t="shared" ca="1" si="0"/>
        <v>6</v>
      </c>
      <c r="C13" s="357"/>
      <c r="D13" s="357">
        <f t="shared" ca="1" si="1"/>
        <v>11</v>
      </c>
      <c r="E13" s="357"/>
      <c r="F13" s="357">
        <f>BD!C11</f>
        <v>20</v>
      </c>
      <c r="G13" s="358"/>
      <c r="Q13" s="5" t="s">
        <v>144</v>
      </c>
      <c r="R13" s="5" t="str">
        <f>'Feuille Personnage'!M49</f>
        <v>Mêlée (base)</v>
      </c>
      <c r="S13" s="5">
        <f>COUNTIF($Q$3:$Q$27,Caracteristique!R13)</f>
        <v>1</v>
      </c>
      <c r="T13" s="5" t="str">
        <f t="shared" si="2"/>
        <v xml:space="preserve"> </v>
      </c>
      <c r="U13" s="5">
        <v>1</v>
      </c>
      <c r="V13" s="5" t="str">
        <v xml:space="preserve"> </v>
      </c>
    </row>
    <row r="14" spans="1:22">
      <c r="A14" s="21" t="s">
        <v>17</v>
      </c>
      <c r="B14" s="18"/>
      <c r="C14" s="10"/>
      <c r="D14" s="10"/>
      <c r="E14" s="10"/>
      <c r="F14" s="357">
        <f>BD!C12</f>
        <v>2</v>
      </c>
      <c r="G14" s="358"/>
      <c r="Q14" s="5" t="s">
        <v>137</v>
      </c>
      <c r="R14" s="5" t="str">
        <f>'Feuille Personnage'!M50</f>
        <v>A Distance (Arc)</v>
      </c>
      <c r="S14" s="5">
        <f>COUNTIF($Q$3:$Q$27,Caracteristique!R14)</f>
        <v>0</v>
      </c>
      <c r="T14" s="5" t="str">
        <f t="shared" si="2"/>
        <v>A Distance (Arc)</v>
      </c>
      <c r="U14" s="5">
        <v>1</v>
      </c>
      <c r="V14" s="5" t="str">
        <v xml:space="preserve"> </v>
      </c>
    </row>
    <row r="15" spans="1:22">
      <c r="A15" s="21" t="s">
        <v>18</v>
      </c>
      <c r="B15" s="18"/>
      <c r="C15" s="10"/>
      <c r="D15" s="10"/>
      <c r="E15" s="10"/>
      <c r="F15" s="357">
        <f>BD!C13</f>
        <v>1</v>
      </c>
      <c r="G15" s="358"/>
      <c r="Q15" s="5" t="s">
        <v>138</v>
      </c>
      <c r="R15" s="5" t="str">
        <f>'Feuille Personnage'!N39</f>
        <v>Equitation</v>
      </c>
      <c r="S15" s="5">
        <f>COUNTIF($Q$3:$Q$27,Caracteristique!R15)</f>
        <v>0</v>
      </c>
      <c r="T15" s="5" t="str">
        <f t="shared" si="2"/>
        <v>Equitation</v>
      </c>
      <c r="U15" s="5">
        <v>1</v>
      </c>
      <c r="V15" s="5" t="str">
        <v xml:space="preserve"> </v>
      </c>
    </row>
    <row r="16" spans="1:22">
      <c r="A16" s="21" t="s">
        <v>21</v>
      </c>
      <c r="B16" s="18"/>
      <c r="C16" s="10"/>
      <c r="D16" s="10"/>
      <c r="E16" s="10"/>
      <c r="F16" s="357">
        <f>BD!C14</f>
        <v>3</v>
      </c>
      <c r="G16" s="358"/>
      <c r="Q16" s="5" t="s">
        <v>139</v>
      </c>
      <c r="R16" s="5" t="str">
        <f>'Feuille Personnage'!N40</f>
        <v>Guérison des animaux</v>
      </c>
      <c r="S16" s="5">
        <f>COUNTIF($Q$3:$Q$27,Caracteristique!R16)</f>
        <v>0</v>
      </c>
      <c r="T16" s="5" t="str">
        <f t="shared" si="2"/>
        <v>Guérison des animaux</v>
      </c>
      <c r="U16" s="5">
        <v>1</v>
      </c>
      <c r="V16" s="5" t="str">
        <v xml:space="preserve"> </v>
      </c>
    </row>
    <row r="17" spans="1:22">
      <c r="A17" s="21" t="s">
        <v>19</v>
      </c>
      <c r="B17" s="18"/>
      <c r="C17" s="10"/>
      <c r="D17" s="10"/>
      <c r="E17" s="10"/>
      <c r="F17" s="357">
        <f>BD!C15</f>
        <v>4</v>
      </c>
      <c r="G17" s="358"/>
      <c r="Q17" s="5" t="s">
        <v>140</v>
      </c>
      <c r="R17" s="5" t="str">
        <f>'Feuille Personnage'!N41</f>
        <v>Emprise sur les animaux</v>
      </c>
      <c r="S17" s="5">
        <f>COUNTIF($Q$3:$Q$27,Caracteristique!R17)</f>
        <v>1</v>
      </c>
      <c r="T17" s="5" t="str">
        <f t="shared" si="2"/>
        <v xml:space="preserve"> </v>
      </c>
      <c r="U17" s="5">
        <v>1</v>
      </c>
      <c r="V17" s="5" t="str">
        <v xml:space="preserve"> </v>
      </c>
    </row>
    <row r="18" spans="1:22" ht="15.75" thickBot="1">
      <c r="A18" s="22" t="s">
        <v>159</v>
      </c>
      <c r="B18" s="19"/>
      <c r="C18" s="17"/>
      <c r="D18" s="17"/>
      <c r="E18" s="17"/>
      <c r="F18" s="323">
        <f>BD!C16</f>
        <v>3</v>
      </c>
      <c r="G18" s="324"/>
      <c r="Q18" s="5" t="s">
        <v>126</v>
      </c>
      <c r="R18" s="5" t="str">
        <f>'Feuille Personnage'!N42</f>
        <v>Endurance</v>
      </c>
      <c r="S18" s="5">
        <f>COUNTIF($Q$3:$Q$27,Caracteristique!R18)</f>
        <v>0</v>
      </c>
      <c r="T18" s="5" t="str">
        <f t="shared" si="2"/>
        <v>Endurance</v>
      </c>
      <c r="U18" s="5">
        <v>1</v>
      </c>
      <c r="V18" s="5" t="str">
        <v xml:space="preserve"> </v>
      </c>
    </row>
    <row r="19" spans="1:22" ht="15.75" thickBot="1">
      <c r="F19" s="393"/>
      <c r="G19" s="393"/>
      <c r="Q19" s="5" t="s">
        <v>184</v>
      </c>
      <c r="R19" s="5" t="str">
        <f>'Feuille Personnage'!N43</f>
        <v>Langue (Bataille)</v>
      </c>
      <c r="S19" s="5">
        <f>COUNTIF($Q$3:$Q$27,Caracteristique!R19)</f>
        <v>0</v>
      </c>
      <c r="T19" s="5" t="str">
        <f t="shared" si="2"/>
        <v>Langue (Bataille)</v>
      </c>
      <c r="U19" s="5">
        <v>1</v>
      </c>
      <c r="V19" s="5" t="str">
        <v xml:space="preserve"> </v>
      </c>
    </row>
    <row r="20" spans="1:22">
      <c r="A20" s="20" t="str">
        <f>VLOOKUP('Feuille Personnage'!$M$3,$A$46:$K$56,2,FALSE)</f>
        <v>Agi</v>
      </c>
      <c r="B20" s="26">
        <v>1</v>
      </c>
      <c r="C20" s="5">
        <f ca="1">VLOOKUP(B20,$B$4:$G$13,3,FALSE)</f>
        <v>17</v>
      </c>
      <c r="D20" s="5">
        <f ca="1">C20+VLOOKUP(A20,$A$4:$G$13,6,FALSE)</f>
        <v>37</v>
      </c>
      <c r="Q20" s="5" t="s">
        <v>142</v>
      </c>
      <c r="R20" s="5" t="str">
        <f>'Feuille Personnage'!N44</f>
        <v>Mêlée (base)</v>
      </c>
      <c r="S20" s="5">
        <f>COUNTIF($Q$3:$Q$27,Caracteristique!R20)</f>
        <v>1</v>
      </c>
      <c r="T20" s="5" t="str">
        <f t="shared" si="2"/>
        <v xml:space="preserve"> </v>
      </c>
      <c r="U20" s="5">
        <v>1</v>
      </c>
      <c r="V20" s="5" t="str">
        <v xml:space="preserve"> </v>
      </c>
    </row>
    <row r="21" spans="1:22">
      <c r="A21" s="21" t="str">
        <f>VLOOKUP('Feuille Personnage'!$M$3,$A$46:$K$56,3,FALSE)</f>
        <v>For</v>
      </c>
      <c r="B21" s="26">
        <v>2</v>
      </c>
      <c r="C21" s="5">
        <f t="shared" ref="C21:C29" ca="1" si="3">_xlfn.IFNA(VLOOKUP(B21,$B$4:$G$13,3,FALSE),C20)</f>
        <v>14</v>
      </c>
      <c r="D21" s="5">
        <f t="shared" ref="D21:D29" ca="1" si="4">C21+VLOOKUP(A21,$A$4:$G$13,6,FALSE)</f>
        <v>34</v>
      </c>
      <c r="Q21" s="5" t="s">
        <v>143</v>
      </c>
      <c r="R21" s="5" t="str">
        <f>'Feuille Personnage'!N45</f>
        <v>Survie en extérieur</v>
      </c>
      <c r="S21" s="5">
        <f>COUNTIF($Q$3:$Q$27,Caracteristique!R21)</f>
        <v>1</v>
      </c>
      <c r="T21" s="5" t="str">
        <f t="shared" si="2"/>
        <v xml:space="preserve"> </v>
      </c>
      <c r="U21" s="5">
        <v>1</v>
      </c>
      <c r="V21" s="5" t="str">
        <v xml:space="preserve"> </v>
      </c>
    </row>
    <row r="22" spans="1:22">
      <c r="A22" s="21" t="str">
        <f>VLOOKUP('Feuille Personnage'!$M$3,$A$46:$K$56,4,FALSE)</f>
        <v>CC</v>
      </c>
      <c r="B22" s="26">
        <v>3</v>
      </c>
      <c r="C22" s="5">
        <f t="shared" ca="1" si="3"/>
        <v>14</v>
      </c>
      <c r="D22" s="5">
        <f t="shared" ca="1" si="4"/>
        <v>34</v>
      </c>
      <c r="Q22" s="5" t="s">
        <v>145</v>
      </c>
      <c r="R22" s="5" t="str">
        <f>'Feuille Personnage'!N46</f>
        <v>Perception</v>
      </c>
      <c r="S22" s="5">
        <f>COUNTIF($Q$3:$Q$27,Caracteristique!R22)</f>
        <v>1</v>
      </c>
      <c r="T22" s="5" t="str">
        <f t="shared" si="2"/>
        <v xml:space="preserve"> </v>
      </c>
      <c r="U22" s="5">
        <v>1</v>
      </c>
      <c r="V22" s="5" t="str">
        <v xml:space="preserve"> </v>
      </c>
    </row>
    <row r="23" spans="1:22">
      <c r="A23" s="21" t="str">
        <f>VLOOKUP('Feuille Personnage'!$M$3,$A$46:$K$56,5,FALSE)</f>
        <v>CT</v>
      </c>
      <c r="B23" s="26">
        <v>4</v>
      </c>
      <c r="C23" s="5">
        <f t="shared" ca="1" si="3"/>
        <v>14</v>
      </c>
      <c r="D23" s="5">
        <f t="shared" ca="1" si="4"/>
        <v>34</v>
      </c>
      <c r="Q23" s="5" t="s">
        <v>146</v>
      </c>
    </row>
    <row r="24" spans="1:22">
      <c r="A24" s="21" t="str">
        <f>VLOOKUP('Feuille Personnage'!$M$3,$A$46:$K$56,6,FALSE)</f>
        <v>Ini</v>
      </c>
      <c r="B24" s="26">
        <v>5</v>
      </c>
      <c r="C24" s="5">
        <f t="shared" ca="1" si="3"/>
        <v>12</v>
      </c>
      <c r="D24" s="5">
        <f t="shared" ca="1" si="4"/>
        <v>32</v>
      </c>
      <c r="Q24" s="5" t="s">
        <v>72</v>
      </c>
    </row>
    <row r="25" spans="1:22">
      <c r="A25" s="21" t="str">
        <f>VLOOKUP('Feuille Personnage'!$M$3,$A$46:$K$56,7,FALSE)</f>
        <v>Soc</v>
      </c>
      <c r="B25" s="26">
        <v>6</v>
      </c>
      <c r="C25" s="5">
        <f t="shared" ca="1" si="3"/>
        <v>11</v>
      </c>
      <c r="D25" s="5">
        <f t="shared" ca="1" si="4"/>
        <v>31</v>
      </c>
      <c r="Q25" s="5" t="s">
        <v>187</v>
      </c>
    </row>
    <row r="26" spans="1:22">
      <c r="A26" s="21" t="str">
        <f>VLOOKUP('Feuille Personnage'!$M$3,$A$46:$K$56,8,FALSE)</f>
        <v>End</v>
      </c>
      <c r="B26" s="26">
        <v>7</v>
      </c>
      <c r="C26" s="5">
        <f t="shared" ca="1" si="3"/>
        <v>11</v>
      </c>
      <c r="D26" s="5">
        <f t="shared" ca="1" si="4"/>
        <v>31</v>
      </c>
      <c r="Q26" s="5" t="s">
        <v>74</v>
      </c>
    </row>
    <row r="27" spans="1:22">
      <c r="A27" s="21" t="str">
        <f>VLOOKUP('Feuille Personnage'!$M$3,$A$46:$K$56,9,FALSE)</f>
        <v>Dex</v>
      </c>
      <c r="B27" s="26">
        <v>8</v>
      </c>
      <c r="C27" s="5">
        <f t="shared" ca="1" si="3"/>
        <v>9</v>
      </c>
      <c r="D27" s="5">
        <f t="shared" ca="1" si="4"/>
        <v>29</v>
      </c>
      <c r="Q27" s="5" t="s">
        <v>75</v>
      </c>
    </row>
    <row r="28" spans="1:22">
      <c r="A28" s="21" t="str">
        <f>VLOOKUP('Feuille Personnage'!$M$3,$A$46:$K$56,10,FALSE)</f>
        <v>Int</v>
      </c>
      <c r="B28" s="26">
        <v>9</v>
      </c>
      <c r="C28" s="5">
        <f t="shared" ca="1" si="3"/>
        <v>8</v>
      </c>
      <c r="D28" s="5">
        <f t="shared" ca="1" si="4"/>
        <v>28</v>
      </c>
    </row>
    <row r="29" spans="1:22" ht="15.75" thickBot="1">
      <c r="A29" s="22" t="str">
        <f>VLOOKUP('Feuille Personnage'!$M$3,$A$46:$K$56,11,FALSE)</f>
        <v>FM</v>
      </c>
      <c r="B29" s="26">
        <v>10</v>
      </c>
      <c r="C29" s="5">
        <f t="shared" ca="1" si="3"/>
        <v>6</v>
      </c>
      <c r="D29" s="5">
        <f t="shared" ca="1" si="4"/>
        <v>26</v>
      </c>
    </row>
    <row r="30" spans="1:22">
      <c r="C30" s="28">
        <f ca="1">SUM(C20:C29)/10</f>
        <v>11.6</v>
      </c>
    </row>
    <row r="31" spans="1:22">
      <c r="C31" s="105"/>
    </row>
    <row r="32" spans="1:22">
      <c r="A32" s="23" t="s">
        <v>3</v>
      </c>
      <c r="B32">
        <f ca="1">RANDBETWEEN(1,100)</f>
        <v>24</v>
      </c>
      <c r="E32" t="str" cm="1">
        <f t="array" aca="1" ref="E32:F41" ca="1">_xlfn.SORTBY(A32:B41,B32:B41)</f>
        <v>Dex</v>
      </c>
      <c r="F32">
        <f ca="1"/>
        <v>1</v>
      </c>
    </row>
    <row r="33" spans="1:15">
      <c r="A33" s="21" t="s">
        <v>4</v>
      </c>
      <c r="B33">
        <f t="shared" ref="B33:B41" ca="1" si="5">RANDBETWEEN(1,100)</f>
        <v>92</v>
      </c>
      <c r="E33" t="str">
        <f ca="1"/>
        <v>CC</v>
      </c>
      <c r="F33">
        <f ca="1"/>
        <v>24</v>
      </c>
    </row>
    <row r="34" spans="1:15">
      <c r="A34" s="21" t="s">
        <v>6</v>
      </c>
      <c r="B34">
        <f t="shared" ca="1" si="5"/>
        <v>41</v>
      </c>
      <c r="E34" t="str">
        <f ca="1"/>
        <v>For</v>
      </c>
      <c r="F34">
        <f ca="1"/>
        <v>41</v>
      </c>
    </row>
    <row r="35" spans="1:15">
      <c r="A35" s="21" t="s">
        <v>5</v>
      </c>
      <c r="B35">
        <f t="shared" ca="1" si="5"/>
        <v>96</v>
      </c>
      <c r="E35" t="str">
        <f ca="1"/>
        <v>Int</v>
      </c>
      <c r="F35">
        <f ca="1"/>
        <v>43</v>
      </c>
    </row>
    <row r="36" spans="1:15">
      <c r="A36" s="21" t="s">
        <v>7</v>
      </c>
      <c r="B36">
        <f t="shared" ca="1" si="5"/>
        <v>72</v>
      </c>
      <c r="E36" t="str">
        <f ca="1"/>
        <v>FM</v>
      </c>
      <c r="F36">
        <f ca="1"/>
        <v>59</v>
      </c>
    </row>
    <row r="37" spans="1:15">
      <c r="A37" s="21" t="s">
        <v>8</v>
      </c>
      <c r="B37">
        <f t="shared" ca="1" si="5"/>
        <v>81</v>
      </c>
      <c r="E37" t="str">
        <f ca="1"/>
        <v>Soc</v>
      </c>
      <c r="F37">
        <f ca="1"/>
        <v>61</v>
      </c>
    </row>
    <row r="38" spans="1:15">
      <c r="A38" s="21" t="s">
        <v>9</v>
      </c>
      <c r="B38">
        <f t="shared" ca="1" si="5"/>
        <v>1</v>
      </c>
      <c r="E38" t="str">
        <f ca="1"/>
        <v>Agi</v>
      </c>
      <c r="F38">
        <f ca="1"/>
        <v>72</v>
      </c>
    </row>
    <row r="39" spans="1:15">
      <c r="A39" s="21" t="s">
        <v>10</v>
      </c>
      <c r="B39">
        <f t="shared" ca="1" si="5"/>
        <v>43</v>
      </c>
      <c r="E39" t="str">
        <f ca="1"/>
        <v>Ini</v>
      </c>
      <c r="F39">
        <f ca="1"/>
        <v>81</v>
      </c>
    </row>
    <row r="40" spans="1:15">
      <c r="A40" s="21" t="s">
        <v>11</v>
      </c>
      <c r="B40">
        <f t="shared" ca="1" si="5"/>
        <v>59</v>
      </c>
      <c r="E40" t="str">
        <f ca="1"/>
        <v>CT</v>
      </c>
      <c r="F40">
        <f ca="1"/>
        <v>92</v>
      </c>
    </row>
    <row r="41" spans="1:15">
      <c r="A41" s="21" t="s">
        <v>12</v>
      </c>
      <c r="B41">
        <f t="shared" ca="1" si="5"/>
        <v>61</v>
      </c>
      <c r="E41" t="str">
        <f ca="1"/>
        <v>End</v>
      </c>
      <c r="F41">
        <f ca="1"/>
        <v>96</v>
      </c>
    </row>
    <row r="44" spans="1:15" ht="15.75" thickBot="1"/>
    <row r="45" spans="1:15" ht="16.5" thickBot="1">
      <c r="A45" s="440" t="s">
        <v>401</v>
      </c>
      <c r="B45" s="441"/>
      <c r="C45" s="441"/>
      <c r="D45" s="441"/>
      <c r="E45" s="441"/>
      <c r="F45" s="441"/>
      <c r="G45" s="441"/>
      <c r="H45" s="441"/>
      <c r="I45" s="441"/>
      <c r="J45" s="441"/>
      <c r="K45" s="442"/>
      <c r="N45" s="393" t="s">
        <v>504</v>
      </c>
      <c r="O45" s="393"/>
    </row>
    <row r="46" spans="1:15">
      <c r="A46" s="140" t="s">
        <v>694</v>
      </c>
      <c r="B46" s="124" t="str">
        <f>U62</f>
        <v>Agi</v>
      </c>
      <c r="C46" s="124" t="str">
        <f>U61</f>
        <v>For</v>
      </c>
      <c r="D46" s="124" t="str">
        <f>U60</f>
        <v>CC</v>
      </c>
      <c r="E46" s="124" t="str">
        <f>U59</f>
        <v>CT</v>
      </c>
      <c r="F46" s="124" t="str">
        <f>U58</f>
        <v>Ini</v>
      </c>
      <c r="G46" s="124" t="str">
        <f>U57</f>
        <v>Soc</v>
      </c>
      <c r="H46" s="124" t="str">
        <f>U63</f>
        <v>End</v>
      </c>
      <c r="I46" s="124" t="str">
        <f>U64</f>
        <v>Dex</v>
      </c>
      <c r="J46" s="124" t="str">
        <f>U65</f>
        <v>Int</v>
      </c>
      <c r="K46" s="125" t="str">
        <f>U66</f>
        <v>FM</v>
      </c>
      <c r="N46" s="138"/>
      <c r="O46" s="138"/>
    </row>
    <row r="47" spans="1:15">
      <c r="A47" s="126" t="s">
        <v>411</v>
      </c>
      <c r="B47" s="122" t="str">
        <f ca="1">E32</f>
        <v>Dex</v>
      </c>
      <c r="C47" s="122" t="str">
        <f ca="1">E33</f>
        <v>CC</v>
      </c>
      <c r="D47" s="122" t="str">
        <f ca="1">E34</f>
        <v>For</v>
      </c>
      <c r="E47" s="122" t="str">
        <f ca="1">E35</f>
        <v>Int</v>
      </c>
      <c r="F47" s="122" t="str">
        <f ca="1">E36</f>
        <v>FM</v>
      </c>
      <c r="G47" s="122" t="str">
        <f ca="1">E37</f>
        <v>Soc</v>
      </c>
      <c r="H47" s="122" t="str">
        <f ca="1">E38</f>
        <v>Agi</v>
      </c>
      <c r="I47" s="122" t="str">
        <f ca="1">E39</f>
        <v>Ini</v>
      </c>
      <c r="J47" s="122" t="str">
        <f ca="1">E40</f>
        <v>CT</v>
      </c>
      <c r="K47" s="123" t="str">
        <f ca="1">E41</f>
        <v>End</v>
      </c>
      <c r="N47" t="str" cm="1">
        <f t="array" ref="N47:O47">'Feuille Personnage'!O4:P4</f>
        <v>CT</v>
      </c>
      <c r="O47">
        <v>0</v>
      </c>
    </row>
    <row r="48" spans="1:15">
      <c r="A48" s="126" t="s">
        <v>502</v>
      </c>
      <c r="B48" s="122" t="str">
        <f>N47</f>
        <v>CT</v>
      </c>
      <c r="C48" s="122" t="str">
        <f>N48</f>
        <v>For</v>
      </c>
      <c r="D48" s="122" t="str">
        <f>N49</f>
        <v>End</v>
      </c>
      <c r="E48" s="122" t="str">
        <f>N50</f>
        <v>FM</v>
      </c>
      <c r="F48" s="122" t="str">
        <f>N51</f>
        <v>Agi</v>
      </c>
      <c r="G48" s="122" t="str">
        <f>N52</f>
        <v>Dex</v>
      </c>
      <c r="H48" s="122" t="str">
        <f>N53</f>
        <v>Int</v>
      </c>
      <c r="I48" s="122" t="str">
        <f>N54</f>
        <v>CC</v>
      </c>
      <c r="J48" s="122" t="str">
        <f>N55</f>
        <v>Ini</v>
      </c>
      <c r="K48" s="123" t="str">
        <f>N56</f>
        <v>Soc</v>
      </c>
      <c r="N48" t="str" cm="1">
        <f t="array" ref="N48:O48">'Feuille Personnage'!O5:P5</f>
        <v>For</v>
      </c>
      <c r="O48">
        <v>0</v>
      </c>
    </row>
    <row r="49" spans="1:21">
      <c r="A49" s="121" t="s">
        <v>270</v>
      </c>
      <c r="B49" s="122" t="s">
        <v>12</v>
      </c>
      <c r="C49" s="122" t="s">
        <v>9</v>
      </c>
      <c r="D49" s="122" t="s">
        <v>10</v>
      </c>
      <c r="E49" s="122" t="s">
        <v>11</v>
      </c>
      <c r="F49" s="122" t="s">
        <v>8</v>
      </c>
      <c r="G49" s="122" t="s">
        <v>5</v>
      </c>
      <c r="H49" s="122" t="s">
        <v>7</v>
      </c>
      <c r="I49" s="122" t="s">
        <v>3</v>
      </c>
      <c r="J49" s="122" t="s">
        <v>4</v>
      </c>
      <c r="K49" s="123" t="s">
        <v>6</v>
      </c>
      <c r="N49" t="str" cm="1">
        <f t="array" ref="N49:O49">'Feuille Personnage'!O6:P6</f>
        <v>End</v>
      </c>
      <c r="O49">
        <v>0</v>
      </c>
    </row>
    <row r="50" spans="1:21">
      <c r="A50" s="126" t="s">
        <v>424</v>
      </c>
      <c r="B50" s="122" t="s">
        <v>12</v>
      </c>
      <c r="C50" s="122" t="s">
        <v>9</v>
      </c>
      <c r="D50" s="122" t="s">
        <v>10</v>
      </c>
      <c r="E50" s="122" t="s">
        <v>11</v>
      </c>
      <c r="F50" s="122" t="s">
        <v>8</v>
      </c>
      <c r="G50" s="122" t="s">
        <v>5</v>
      </c>
      <c r="H50" s="122" t="s">
        <v>7</v>
      </c>
      <c r="I50" s="122" t="s">
        <v>3</v>
      </c>
      <c r="J50" s="122" t="s">
        <v>4</v>
      </c>
      <c r="K50" s="123" t="s">
        <v>6</v>
      </c>
      <c r="N50" t="str" cm="1">
        <f t="array" ref="N50:O50">'Feuille Personnage'!O7:P7</f>
        <v>FM</v>
      </c>
      <c r="O50" s="33">
        <v>0</v>
      </c>
      <c r="P50" s="33"/>
      <c r="Q50" s="33"/>
    </row>
    <row r="51" spans="1:21">
      <c r="A51" s="62" t="s">
        <v>277</v>
      </c>
      <c r="B51" s="122" t="s">
        <v>9</v>
      </c>
      <c r="C51" s="122" t="s">
        <v>7</v>
      </c>
      <c r="D51" s="122" t="s">
        <v>8</v>
      </c>
      <c r="E51" s="122" t="s">
        <v>3</v>
      </c>
      <c r="F51" s="122" t="s">
        <v>12</v>
      </c>
      <c r="G51" s="122" t="s">
        <v>4</v>
      </c>
      <c r="H51" s="122" t="s">
        <v>5</v>
      </c>
      <c r="I51" s="122" t="s">
        <v>10</v>
      </c>
      <c r="J51" s="122" t="s">
        <v>11</v>
      </c>
      <c r="K51" s="123" t="s">
        <v>6</v>
      </c>
      <c r="N51" t="str" cm="1">
        <f t="array" ref="N51:O51">'Feuille Personnage'!O8:P8</f>
        <v>Agi</v>
      </c>
      <c r="O51" s="33">
        <v>0</v>
      </c>
      <c r="P51" s="33"/>
      <c r="Q51" s="33"/>
    </row>
    <row r="52" spans="1:21">
      <c r="A52" s="62" t="s">
        <v>273</v>
      </c>
      <c r="B52" s="122" t="s">
        <v>4</v>
      </c>
      <c r="C52" s="122" t="s">
        <v>6</v>
      </c>
      <c r="D52" s="122" t="s">
        <v>8</v>
      </c>
      <c r="E52" s="122" t="s">
        <v>9</v>
      </c>
      <c r="F52" s="122" t="s">
        <v>7</v>
      </c>
      <c r="G52" s="122" t="s">
        <v>5</v>
      </c>
      <c r="H52" s="122" t="s">
        <v>11</v>
      </c>
      <c r="I52" s="122" t="s">
        <v>10</v>
      </c>
      <c r="J52" s="122" t="s">
        <v>3</v>
      </c>
      <c r="K52" s="123" t="s">
        <v>12</v>
      </c>
      <c r="N52" t="str" cm="1">
        <f t="array" ref="N52:O52">'Feuille Personnage'!O9:P9</f>
        <v>Dex</v>
      </c>
      <c r="O52" s="33">
        <v>0</v>
      </c>
      <c r="P52" s="33"/>
      <c r="Q52" s="33"/>
    </row>
    <row r="53" spans="1:21">
      <c r="A53" s="126" t="s">
        <v>272</v>
      </c>
      <c r="B53" s="122" t="s">
        <v>3</v>
      </c>
      <c r="C53" s="122" t="s">
        <v>4</v>
      </c>
      <c r="D53" s="122" t="s">
        <v>6</v>
      </c>
      <c r="E53" s="122" t="s">
        <v>5</v>
      </c>
      <c r="F53" s="122" t="s">
        <v>11</v>
      </c>
      <c r="G53" s="122" t="s">
        <v>7</v>
      </c>
      <c r="H53" s="122" t="s">
        <v>8</v>
      </c>
      <c r="I53" s="122" t="s">
        <v>9</v>
      </c>
      <c r="J53" s="122" t="s">
        <v>10</v>
      </c>
      <c r="K53" s="123" t="s">
        <v>12</v>
      </c>
      <c r="N53" t="str" cm="1">
        <f t="array" ref="N53:O53">'Feuille Personnage'!O10:P10</f>
        <v>Int</v>
      </c>
      <c r="O53" s="33">
        <v>0</v>
      </c>
      <c r="P53" s="33"/>
      <c r="Q53" s="33"/>
    </row>
    <row r="54" spans="1:21">
      <c r="A54" s="129" t="s">
        <v>274</v>
      </c>
      <c r="B54" s="122" t="s">
        <v>10</v>
      </c>
      <c r="C54" s="122" t="s">
        <v>11</v>
      </c>
      <c r="D54" s="122" t="s">
        <v>8</v>
      </c>
      <c r="E54" s="122" t="s">
        <v>5</v>
      </c>
      <c r="F54" s="122" t="s">
        <v>7</v>
      </c>
      <c r="G54" s="122" t="s">
        <v>12</v>
      </c>
      <c r="H54" s="122" t="s">
        <v>9</v>
      </c>
      <c r="I54" s="122" t="s">
        <v>3</v>
      </c>
      <c r="J54" s="122" t="s">
        <v>4</v>
      </c>
      <c r="K54" s="123" t="s">
        <v>6</v>
      </c>
      <c r="N54" t="str" cm="1">
        <f t="array" ref="N54:O54">'Feuille Personnage'!O11:P11</f>
        <v>CC</v>
      </c>
      <c r="O54" s="70">
        <v>0</v>
      </c>
      <c r="P54" s="70"/>
      <c r="Q54" s="70"/>
    </row>
    <row r="55" spans="1:21">
      <c r="A55" s="62" t="s">
        <v>278</v>
      </c>
      <c r="B55" s="122" t="s">
        <v>5</v>
      </c>
      <c r="C55" s="122" t="s">
        <v>7</v>
      </c>
      <c r="D55" s="122" t="s">
        <v>3</v>
      </c>
      <c r="E55" s="122" t="s">
        <v>4</v>
      </c>
      <c r="F55" s="122" t="s">
        <v>6</v>
      </c>
      <c r="G55" s="122" t="s">
        <v>12</v>
      </c>
      <c r="H55" s="122" t="s">
        <v>9</v>
      </c>
      <c r="I55" s="122" t="s">
        <v>10</v>
      </c>
      <c r="J55" s="122" t="s">
        <v>11</v>
      </c>
      <c r="K55" s="123" t="s">
        <v>8</v>
      </c>
      <c r="N55" t="str" cm="1">
        <f t="array" ref="N55:O55">'Feuille Personnage'!O12:P12</f>
        <v>Ini</v>
      </c>
      <c r="O55" s="33">
        <v>0</v>
      </c>
      <c r="P55" s="33"/>
      <c r="Q55" s="33"/>
    </row>
    <row r="56" spans="1:21" ht="15.75" thickBot="1">
      <c r="A56" s="130" t="s">
        <v>275</v>
      </c>
      <c r="B56" s="127" t="s">
        <v>3</v>
      </c>
      <c r="C56" s="127" t="s">
        <v>6</v>
      </c>
      <c r="D56" s="127" t="s">
        <v>5</v>
      </c>
      <c r="E56" s="127" t="s">
        <v>7</v>
      </c>
      <c r="F56" s="127" t="s">
        <v>4</v>
      </c>
      <c r="G56" s="127" t="s">
        <v>12</v>
      </c>
      <c r="H56" s="127" t="s">
        <v>9</v>
      </c>
      <c r="I56" s="127" t="s">
        <v>10</v>
      </c>
      <c r="J56" s="127" t="s">
        <v>11</v>
      </c>
      <c r="K56" s="128" t="s">
        <v>8</v>
      </c>
      <c r="N56" t="str" cm="1">
        <f t="array" ref="N56:O56">'Feuille Personnage'!O13:P13</f>
        <v>Soc</v>
      </c>
      <c r="O56">
        <v>0</v>
      </c>
    </row>
    <row r="57" spans="1:21" ht="15.75" thickBot="1">
      <c r="Q57">
        <f>'Feuille Personnage'!B9</f>
        <v>1</v>
      </c>
      <c r="R57" s="96" t="s">
        <v>3</v>
      </c>
      <c r="T57" cm="1">
        <f t="array" ref="T57:U66">_xlfn.SORTBY(Q57:R66,Q57:Q66,-1)</f>
        <v>4</v>
      </c>
      <c r="U57" t="str">
        <v>Soc</v>
      </c>
    </row>
    <row r="58" spans="1:21" ht="15.75" thickBot="1">
      <c r="Q58">
        <f>'Feuille Personnage'!C9</f>
        <v>2</v>
      </c>
      <c r="R58" s="97" t="s">
        <v>4</v>
      </c>
      <c r="T58">
        <v>3</v>
      </c>
      <c r="U58" t="str">
        <v>Ini</v>
      </c>
    </row>
    <row r="59" spans="1:21" ht="15.75" thickBot="1">
      <c r="Q59">
        <f>'Feuille Personnage'!D9</f>
        <v>1</v>
      </c>
      <c r="R59" s="97" t="s">
        <v>6</v>
      </c>
      <c r="T59">
        <v>2</v>
      </c>
      <c r="U59" t="str">
        <v>CT</v>
      </c>
    </row>
    <row r="60" spans="1:21" ht="15.75" thickBot="1">
      <c r="Q60">
        <f>'Feuille Personnage'!E9</f>
        <v>0</v>
      </c>
      <c r="R60" s="97" t="s">
        <v>5</v>
      </c>
      <c r="T60">
        <v>1</v>
      </c>
      <c r="U60" t="str">
        <v>CC</v>
      </c>
    </row>
    <row r="61" spans="1:21" ht="15.75" thickBot="1">
      <c r="Q61">
        <f>'Feuille Personnage'!F9</f>
        <v>1</v>
      </c>
      <c r="R61" s="97" t="s">
        <v>7</v>
      </c>
      <c r="T61">
        <v>1</v>
      </c>
      <c r="U61" t="str">
        <v>For</v>
      </c>
    </row>
    <row r="62" spans="1:21" ht="15.75" thickBot="1">
      <c r="Q62">
        <f>'Feuille Personnage'!G9</f>
        <v>3</v>
      </c>
      <c r="R62" s="97" t="s">
        <v>8</v>
      </c>
      <c r="T62">
        <v>1</v>
      </c>
      <c r="U62" t="str">
        <v>Agi</v>
      </c>
    </row>
    <row r="63" spans="1:21" ht="15.75" thickBot="1">
      <c r="A63" s="444" t="s">
        <v>402</v>
      </c>
      <c r="B63" s="445"/>
      <c r="C63" s="445"/>
      <c r="D63" s="445"/>
      <c r="E63" s="445"/>
      <c r="F63" s="446"/>
      <c r="G63" s="75"/>
      <c r="H63" s="75"/>
      <c r="I63" s="75"/>
      <c r="J63" s="75"/>
      <c r="K63" s="75"/>
      <c r="L63" s="75"/>
      <c r="Q63">
        <f>'Feuille Personnage'!H9</f>
        <v>0</v>
      </c>
      <c r="R63" s="97" t="s">
        <v>9</v>
      </c>
      <c r="T63">
        <v>0</v>
      </c>
      <c r="U63" t="str">
        <v>End</v>
      </c>
    </row>
    <row r="64" spans="1:21" ht="15.75" thickBot="1">
      <c r="A64" s="71" t="s">
        <v>406</v>
      </c>
      <c r="B64" s="438" t="str">
        <f>VLOOKUP('Feuille Personnage'!I2,BD!AQ12:AU75,4,FALSE)</f>
        <v>Argent</v>
      </c>
      <c r="C64" s="439"/>
      <c r="D64" s="439"/>
      <c r="E64" s="439">
        <f>VLOOKUP('Feuille Personnage'!I2,BD!AQ12:AU75,5,FALSE)</f>
        <v>2</v>
      </c>
      <c r="F64" s="443"/>
      <c r="G64" s="393"/>
      <c r="H64" s="393"/>
      <c r="I64" s="68"/>
      <c r="J64" s="393"/>
      <c r="K64" s="393"/>
      <c r="L64" s="68"/>
      <c r="Q64">
        <f>'Feuille Personnage'!I9</f>
        <v>0</v>
      </c>
      <c r="R64" s="97" t="s">
        <v>10</v>
      </c>
      <c r="T64">
        <v>0</v>
      </c>
      <c r="U64" t="str">
        <v>Dex</v>
      </c>
    </row>
    <row r="65" spans="1:21" ht="15.75" thickBot="1">
      <c r="A65" s="23" t="s">
        <v>403</v>
      </c>
      <c r="B65" s="77">
        <v>2</v>
      </c>
      <c r="C65" s="76" t="s">
        <v>407</v>
      </c>
      <c r="D65" s="364" t="str">
        <f ca="1">CONCATENATE(RANDBETWEEN(E64*B65,E64*B65*10),C65)</f>
        <v>12 PC</v>
      </c>
      <c r="E65" s="364"/>
      <c r="F65" s="365"/>
      <c r="H65" s="393"/>
      <c r="I65" s="393"/>
      <c r="Q65">
        <f>'Feuille Personnage'!J9</f>
        <v>0</v>
      </c>
      <c r="R65" s="97" t="s">
        <v>11</v>
      </c>
      <c r="T65">
        <v>0</v>
      </c>
      <c r="U65" t="str">
        <v>Int</v>
      </c>
    </row>
    <row r="66" spans="1:21" ht="15.75" thickBot="1">
      <c r="A66" s="21" t="s">
        <v>404</v>
      </c>
      <c r="B66" s="26">
        <f>E64</f>
        <v>2</v>
      </c>
      <c r="C66" s="5" t="s">
        <v>408</v>
      </c>
      <c r="D66" s="357" t="str">
        <f ca="1">CONCATENATE(RANDBETWEEN(E64,E64*10),C66)</f>
        <v>11 PA</v>
      </c>
      <c r="E66" s="357"/>
      <c r="F66" s="358"/>
      <c r="Q66">
        <f>'Feuille Personnage'!K9</f>
        <v>4</v>
      </c>
      <c r="R66" s="98" t="s">
        <v>12</v>
      </c>
      <c r="T66">
        <v>0</v>
      </c>
      <c r="U66" t="str">
        <v>FM</v>
      </c>
    </row>
    <row r="67" spans="1:21" ht="15.75" thickBot="1">
      <c r="A67" s="22" t="s">
        <v>405</v>
      </c>
      <c r="B67" s="19">
        <f>E64</f>
        <v>2</v>
      </c>
      <c r="C67" s="17" t="s">
        <v>409</v>
      </c>
      <c r="D67" s="323" t="str">
        <f>CONCATENATE(B67,C67)</f>
        <v>2 PO</v>
      </c>
      <c r="E67" s="323"/>
      <c r="F67" s="324"/>
    </row>
    <row r="69" spans="1:21">
      <c r="A69" s="393" t="s">
        <v>410</v>
      </c>
      <c r="B69" s="393"/>
      <c r="C69" s="393"/>
      <c r="D69" s="393"/>
      <c r="E69" s="393"/>
      <c r="F69" s="393"/>
    </row>
    <row r="70" spans="1:21">
      <c r="A70">
        <v>0</v>
      </c>
      <c r="B70">
        <v>1</v>
      </c>
      <c r="C70">
        <v>2</v>
      </c>
      <c r="D70">
        <v>3</v>
      </c>
      <c r="E70">
        <v>4</v>
      </c>
    </row>
    <row r="71" spans="1:21">
      <c r="A71">
        <v>1</v>
      </c>
      <c r="B71">
        <v>5</v>
      </c>
      <c r="C71">
        <v>10</v>
      </c>
      <c r="D71">
        <v>15</v>
      </c>
      <c r="E71">
        <v>20</v>
      </c>
    </row>
    <row r="72" spans="1:21">
      <c r="A72">
        <v>2</v>
      </c>
      <c r="B72">
        <v>0</v>
      </c>
      <c r="C72">
        <v>5</v>
      </c>
      <c r="D72">
        <v>10</v>
      </c>
      <c r="E72">
        <v>15</v>
      </c>
    </row>
    <row r="73" spans="1:21">
      <c r="A73">
        <v>3</v>
      </c>
      <c r="B73">
        <v>0</v>
      </c>
      <c r="C73">
        <v>0</v>
      </c>
      <c r="D73">
        <v>5</v>
      </c>
      <c r="E73">
        <v>10</v>
      </c>
    </row>
    <row r="74" spans="1:21">
      <c r="A74">
        <v>4</v>
      </c>
      <c r="B74">
        <v>0</v>
      </c>
      <c r="C74">
        <v>0</v>
      </c>
      <c r="D74">
        <v>0</v>
      </c>
      <c r="E74">
        <v>5</v>
      </c>
    </row>
    <row r="77" spans="1:21" ht="15.75" thickBot="1">
      <c r="A77" s="437" t="s">
        <v>503</v>
      </c>
      <c r="B77" s="437"/>
      <c r="C77" s="437"/>
      <c r="D77" s="437"/>
      <c r="E77" s="437"/>
    </row>
    <row r="78" spans="1:21">
      <c r="A78" s="111" t="s">
        <v>3</v>
      </c>
      <c r="B78" s="25">
        <f>COUNTIF('Feuille Personnage'!$O$4:$P$13,Caracteristique!A78)</f>
        <v>1</v>
      </c>
      <c r="C78" s="25" t="str">
        <f>IF(B78=0,A78,"")</f>
        <v/>
      </c>
      <c r="D78" s="25" cm="1">
        <f t="array" ref="D78:E87">_xlfn.SORTBY(B78:C87,B78:B87)</f>
        <v>1</v>
      </c>
      <c r="E78" s="16" t="str">
        <v/>
      </c>
    </row>
    <row r="79" spans="1:21">
      <c r="A79" s="112" t="s">
        <v>4</v>
      </c>
      <c r="B79" s="5">
        <f>COUNTIF('Feuille Personnage'!$O$4:$P$13,Caracteristique!A79)</f>
        <v>1</v>
      </c>
      <c r="C79" s="5" t="str">
        <f t="shared" ref="C79:C87" si="6">IF(B79=0,A79,"")</f>
        <v/>
      </c>
      <c r="D79" s="5">
        <v>1</v>
      </c>
      <c r="E79" s="7" t="str">
        <v/>
      </c>
    </row>
    <row r="80" spans="1:21">
      <c r="A80" s="112" t="s">
        <v>6</v>
      </c>
      <c r="B80" s="5">
        <f>COUNTIF('Feuille Personnage'!$O$4:$P$13,Caracteristique!A80)</f>
        <v>1</v>
      </c>
      <c r="C80" s="5" t="str">
        <f t="shared" si="6"/>
        <v/>
      </c>
      <c r="D80" s="5">
        <v>1</v>
      </c>
      <c r="E80" s="7" t="str">
        <v/>
      </c>
    </row>
    <row r="81" spans="1:5">
      <c r="A81" s="112" t="s">
        <v>5</v>
      </c>
      <c r="B81" s="5">
        <f>COUNTIF('Feuille Personnage'!$O$4:$P$13,Caracteristique!A81)</f>
        <v>1</v>
      </c>
      <c r="C81" s="5" t="str">
        <f t="shared" si="6"/>
        <v/>
      </c>
      <c r="D81" s="5">
        <v>1</v>
      </c>
      <c r="E81" s="7" t="str">
        <v/>
      </c>
    </row>
    <row r="82" spans="1:5">
      <c r="A82" s="112" t="s">
        <v>7</v>
      </c>
      <c r="B82" s="5">
        <f>COUNTIF('Feuille Personnage'!$O$4:$P$13,Caracteristique!A82)</f>
        <v>1</v>
      </c>
      <c r="C82" s="5" t="str">
        <f t="shared" si="6"/>
        <v/>
      </c>
      <c r="D82" s="5">
        <v>1</v>
      </c>
      <c r="E82" s="7" t="str">
        <v/>
      </c>
    </row>
    <row r="83" spans="1:5">
      <c r="A83" s="112" t="s">
        <v>8</v>
      </c>
      <c r="B83" s="5">
        <f>COUNTIF('Feuille Personnage'!$O$4:$P$13,Caracteristique!A83)</f>
        <v>1</v>
      </c>
      <c r="C83" s="5" t="str">
        <f t="shared" si="6"/>
        <v/>
      </c>
      <c r="D83" s="5">
        <v>1</v>
      </c>
      <c r="E83" s="7" t="str">
        <v/>
      </c>
    </row>
    <row r="84" spans="1:5">
      <c r="A84" s="112" t="s">
        <v>9</v>
      </c>
      <c r="B84" s="5">
        <f>COUNTIF('Feuille Personnage'!$O$4:$P$13,Caracteristique!A84)</f>
        <v>1</v>
      </c>
      <c r="C84" s="5" t="str">
        <f t="shared" si="6"/>
        <v/>
      </c>
      <c r="D84" s="5">
        <v>1</v>
      </c>
      <c r="E84" s="7" t="str">
        <v/>
      </c>
    </row>
    <row r="85" spans="1:5">
      <c r="A85" s="112" t="s">
        <v>10</v>
      </c>
      <c r="B85" s="5">
        <f>COUNTIF('Feuille Personnage'!$O$4:$P$13,Caracteristique!A85)</f>
        <v>1</v>
      </c>
      <c r="C85" s="5" t="str">
        <f t="shared" si="6"/>
        <v/>
      </c>
      <c r="D85" s="5">
        <v>1</v>
      </c>
      <c r="E85" s="7" t="str">
        <v/>
      </c>
    </row>
    <row r="86" spans="1:5">
      <c r="A86" s="112" t="s">
        <v>11</v>
      </c>
      <c r="B86" s="5">
        <f>COUNTIF('Feuille Personnage'!$O$4:$P$13,Caracteristique!A86)</f>
        <v>1</v>
      </c>
      <c r="C86" s="5" t="str">
        <f t="shared" si="6"/>
        <v/>
      </c>
      <c r="D86" s="5">
        <v>1</v>
      </c>
      <c r="E86" s="7" t="str">
        <v/>
      </c>
    </row>
    <row r="87" spans="1:5" ht="15.75" thickBot="1">
      <c r="A87" s="113" t="s">
        <v>12</v>
      </c>
      <c r="B87" s="17">
        <f>COUNTIF('Feuille Personnage'!$O$4:$P$13,Caracteristique!A87)</f>
        <v>1</v>
      </c>
      <c r="C87" s="17" t="str">
        <f t="shared" si="6"/>
        <v/>
      </c>
      <c r="D87" s="17">
        <v>1</v>
      </c>
      <c r="E87" s="9" t="str">
        <v/>
      </c>
    </row>
    <row r="92" spans="1:5">
      <c r="A92" s="135" t="s">
        <v>666</v>
      </c>
      <c r="B92">
        <f>IFERROR(FIND(Caracteristique!A92,Final!$I$22,1),0)</f>
        <v>12</v>
      </c>
      <c r="C92" t="str">
        <f>IF(B92&gt;0,A92,"")</f>
        <v>Arme de poing</v>
      </c>
      <c r="D92" t="str" cm="1">
        <f t="array" ref="D92:D118">_xlfn._xlws.SORT(C92:C118,1,-1)</f>
        <v>Dague</v>
      </c>
    </row>
    <row r="93" spans="1:5">
      <c r="A93" s="132" t="s">
        <v>665</v>
      </c>
      <c r="B93">
        <f>IFERROR(FIND(Caracteristique!A93,Final!$I$22,1),0)</f>
        <v>0</v>
      </c>
      <c r="C93" t="str">
        <f t="shared" ref="C93:C156" si="7">IF(B93&gt;0,A93,"")</f>
        <v/>
      </c>
      <c r="D93" t="str">
        <v>Arme de poing</v>
      </c>
    </row>
    <row r="94" spans="1:5">
      <c r="A94" s="132" t="s">
        <v>530</v>
      </c>
      <c r="B94">
        <f>IFERROR(FIND(Caracteristique!A94,Final!$I$22,1),0)</f>
        <v>27</v>
      </c>
      <c r="C94" t="str">
        <f t="shared" si="7"/>
        <v>Dague</v>
      </c>
      <c r="D94" t="str">
        <v/>
      </c>
    </row>
    <row r="95" spans="1:5">
      <c r="A95" s="132" t="s">
        <v>531</v>
      </c>
      <c r="B95">
        <f>IFERROR(FIND(Caracteristique!A95,Final!$I$22,1),0)</f>
        <v>0</v>
      </c>
      <c r="C95" t="str">
        <f t="shared" si="7"/>
        <v/>
      </c>
      <c r="D95" t="str">
        <v/>
      </c>
    </row>
    <row r="96" spans="1:5">
      <c r="A96" s="132" t="s">
        <v>532</v>
      </c>
      <c r="B96">
        <f>IFERROR(FIND(Caracteristique!A96,Final!$I$22,1),0)</f>
        <v>0</v>
      </c>
      <c r="C96" t="str">
        <f t="shared" si="7"/>
        <v/>
      </c>
      <c r="D96" t="str">
        <v/>
      </c>
    </row>
    <row r="97" spans="1:4">
      <c r="A97" s="132" t="s">
        <v>533</v>
      </c>
      <c r="B97">
        <f>IFERROR(FIND(Caracteristique!A97,Final!$I$22,1),0)</f>
        <v>0</v>
      </c>
      <c r="C97" t="str">
        <f t="shared" si="7"/>
        <v/>
      </c>
      <c r="D97" t="str">
        <v/>
      </c>
    </row>
    <row r="98" spans="1:4">
      <c r="A98" s="132" t="s">
        <v>534</v>
      </c>
      <c r="B98">
        <f>IFERROR(FIND(Caracteristique!A98,Final!$I$22,1),0)</f>
        <v>0</v>
      </c>
      <c r="C98" t="str">
        <f t="shared" si="7"/>
        <v/>
      </c>
      <c r="D98" t="str">
        <v/>
      </c>
    </row>
    <row r="99" spans="1:4">
      <c r="A99" s="132" t="s">
        <v>536</v>
      </c>
      <c r="B99">
        <f>IFERROR(FIND(Caracteristique!A99,Final!$I$22,1),0)</f>
        <v>0</v>
      </c>
      <c r="C99" t="str">
        <f t="shared" si="7"/>
        <v/>
      </c>
      <c r="D99" t="str">
        <v/>
      </c>
    </row>
    <row r="100" spans="1:4">
      <c r="A100" s="132" t="s">
        <v>537</v>
      </c>
      <c r="B100">
        <f>IFERROR(FIND(Caracteristique!A100,Final!$I$22,1),0)</f>
        <v>0</v>
      </c>
      <c r="C100" t="str">
        <f t="shared" si="7"/>
        <v/>
      </c>
      <c r="D100" t="str">
        <v/>
      </c>
    </row>
    <row r="101" spans="1:4">
      <c r="A101" s="132" t="s">
        <v>558</v>
      </c>
      <c r="B101">
        <f>IFERROR(FIND(Caracteristique!A101,Final!$I$22,1),0)</f>
        <v>0</v>
      </c>
      <c r="C101" t="str">
        <f t="shared" si="7"/>
        <v/>
      </c>
      <c r="D101" t="str">
        <v/>
      </c>
    </row>
    <row r="102" spans="1:4">
      <c r="A102" s="132" t="s">
        <v>559</v>
      </c>
      <c r="B102">
        <f>IFERROR(FIND(Caracteristique!A102,Final!$I$22,1),0)</f>
        <v>0</v>
      </c>
      <c r="C102" t="str">
        <f t="shared" si="7"/>
        <v/>
      </c>
      <c r="D102" t="str">
        <v/>
      </c>
    </row>
    <row r="103" spans="1:4">
      <c r="A103" s="132" t="s">
        <v>560</v>
      </c>
      <c r="B103">
        <f>IFERROR(FIND(Caracteristique!A103,Final!$I$22,1),0)</f>
        <v>0</v>
      </c>
      <c r="C103" t="str">
        <f t="shared" si="7"/>
        <v/>
      </c>
      <c r="D103" t="str">
        <v/>
      </c>
    </row>
    <row r="104" spans="1:4">
      <c r="A104" s="132" t="s">
        <v>561</v>
      </c>
      <c r="B104">
        <f>IFERROR(FIND(Caracteristique!A104,Final!$I$22,1),0)</f>
        <v>0</v>
      </c>
      <c r="C104" t="str">
        <f t="shared" si="7"/>
        <v/>
      </c>
      <c r="D104" t="str">
        <v/>
      </c>
    </row>
    <row r="105" spans="1:4">
      <c r="A105" s="132" t="s">
        <v>567</v>
      </c>
      <c r="B105">
        <f>IFERROR(FIND(Caracteristique!A105,Final!$I$22,1),0)</f>
        <v>0</v>
      </c>
      <c r="C105" t="str">
        <f t="shared" si="7"/>
        <v/>
      </c>
      <c r="D105" t="str">
        <v/>
      </c>
    </row>
    <row r="106" spans="1:4">
      <c r="A106" s="132" t="s">
        <v>568</v>
      </c>
      <c r="B106">
        <f>IFERROR(FIND(Caracteristique!A106,Final!$I$22,1),0)</f>
        <v>0</v>
      </c>
      <c r="C106" t="str">
        <f t="shared" si="7"/>
        <v/>
      </c>
      <c r="D106" t="str">
        <v/>
      </c>
    </row>
    <row r="107" spans="1:4">
      <c r="A107" s="132" t="s">
        <v>573</v>
      </c>
      <c r="B107">
        <f>IFERROR(FIND(Caracteristique!A107,Final!$I$22,1),0)</f>
        <v>0</v>
      </c>
      <c r="C107" t="str">
        <f t="shared" si="7"/>
        <v/>
      </c>
      <c r="D107" t="str">
        <v/>
      </c>
    </row>
    <row r="108" spans="1:4">
      <c r="A108" s="132" t="s">
        <v>574</v>
      </c>
      <c r="B108">
        <f>IFERROR(FIND(Caracteristique!A108,Final!$I$22,1),0)</f>
        <v>0</v>
      </c>
      <c r="C108" t="str">
        <f t="shared" si="7"/>
        <v/>
      </c>
      <c r="D108" t="str">
        <v/>
      </c>
    </row>
    <row r="109" spans="1:4">
      <c r="A109" s="132" t="s">
        <v>575</v>
      </c>
      <c r="B109">
        <f>IFERROR(FIND(Caracteristique!A109,Final!$I$22,1),0)</f>
        <v>0</v>
      </c>
      <c r="C109" t="str">
        <f t="shared" si="7"/>
        <v/>
      </c>
      <c r="D109" t="str">
        <v/>
      </c>
    </row>
    <row r="110" spans="1:4">
      <c r="A110" s="132" t="s">
        <v>576</v>
      </c>
      <c r="B110">
        <f>IFERROR(FIND(Caracteristique!A110,Final!$I$22,1),0)</f>
        <v>0</v>
      </c>
      <c r="C110" t="str">
        <f t="shared" si="7"/>
        <v/>
      </c>
      <c r="D110" t="str">
        <v/>
      </c>
    </row>
    <row r="111" spans="1:4">
      <c r="A111" s="132" t="s">
        <v>577</v>
      </c>
      <c r="B111">
        <f>IFERROR(FIND(Caracteristique!A111,Final!$I$22,1),0)</f>
        <v>0</v>
      </c>
      <c r="C111" t="str">
        <f t="shared" si="7"/>
        <v/>
      </c>
      <c r="D111" t="str">
        <v/>
      </c>
    </row>
    <row r="112" spans="1:4">
      <c r="A112" s="132" t="s">
        <v>587</v>
      </c>
      <c r="B112">
        <f>IFERROR(FIND(Caracteristique!A112,Final!$I$22,1),0)</f>
        <v>0</v>
      </c>
      <c r="C112" t="str">
        <f t="shared" si="7"/>
        <v/>
      </c>
      <c r="D112" t="str">
        <v/>
      </c>
    </row>
    <row r="113" spans="1:4">
      <c r="A113" s="132" t="s">
        <v>588</v>
      </c>
      <c r="B113">
        <f>IFERROR(FIND(Caracteristique!A113,Final!$I$22,1),0)</f>
        <v>0</v>
      </c>
      <c r="C113" t="str">
        <f t="shared" si="7"/>
        <v/>
      </c>
      <c r="D113" t="str">
        <v/>
      </c>
    </row>
    <row r="114" spans="1:4">
      <c r="A114" s="132" t="s">
        <v>592</v>
      </c>
      <c r="B114">
        <f>IFERROR(FIND(Caracteristique!A114,Final!$I$22,1),0)</f>
        <v>0</v>
      </c>
      <c r="C114" t="str">
        <f t="shared" si="7"/>
        <v/>
      </c>
      <c r="D114" t="str">
        <v/>
      </c>
    </row>
    <row r="115" spans="1:4">
      <c r="A115" s="132" t="s">
        <v>593</v>
      </c>
      <c r="B115">
        <f>IFERROR(FIND(Caracteristique!A115,Final!$I$22,1),0)</f>
        <v>0</v>
      </c>
      <c r="C115" t="str">
        <f t="shared" si="7"/>
        <v/>
      </c>
      <c r="D115" t="str">
        <v/>
      </c>
    </row>
    <row r="116" spans="1:4">
      <c r="A116" s="132" t="s">
        <v>594</v>
      </c>
      <c r="B116">
        <f>IFERROR(FIND(Caracteristique!A116,Final!$I$22,1),0)</f>
        <v>0</v>
      </c>
      <c r="C116" t="str">
        <f t="shared" si="7"/>
        <v/>
      </c>
      <c r="D116" t="str">
        <v/>
      </c>
    </row>
    <row r="117" spans="1:4">
      <c r="A117" s="132" t="s">
        <v>599</v>
      </c>
      <c r="B117">
        <f>IFERROR(FIND(Caracteristique!A117,Final!$I$22,1),0)</f>
        <v>0</v>
      </c>
      <c r="C117" t="str">
        <f t="shared" si="7"/>
        <v/>
      </c>
      <c r="D117" t="str">
        <v/>
      </c>
    </row>
    <row r="118" spans="1:4" ht="15.75" thickBot="1">
      <c r="A118" s="134" t="s">
        <v>600</v>
      </c>
      <c r="B118">
        <f>IFERROR(FIND(Caracteristique!A118,Final!$I$22,1),0)</f>
        <v>0</v>
      </c>
      <c r="C118" t="str">
        <f t="shared" si="7"/>
        <v/>
      </c>
      <c r="D118" t="str">
        <v/>
      </c>
    </row>
    <row r="120" spans="1:4" ht="15.75" thickBot="1"/>
    <row r="121" spans="1:4">
      <c r="A121" s="133" t="s">
        <v>604</v>
      </c>
      <c r="B121">
        <f>IFERROR(FIND(A121,Final!$I$22,1),0)</f>
        <v>0</v>
      </c>
      <c r="C121" t="str">
        <f t="shared" si="7"/>
        <v/>
      </c>
      <c r="D121" t="str" cm="1">
        <f t="array" ref="D121:D145">_xlfn._xlws.SORT(C121:C145,1,-1)</f>
        <v/>
      </c>
    </row>
    <row r="122" spans="1:4">
      <c r="A122" s="132" t="s">
        <v>606</v>
      </c>
      <c r="B122">
        <f>IFERROR(FIND(A122,Final!$I$22,1),0)</f>
        <v>0</v>
      </c>
      <c r="C122" t="str">
        <f t="shared" si="7"/>
        <v/>
      </c>
      <c r="D122" t="str">
        <v/>
      </c>
    </row>
    <row r="123" spans="1:4">
      <c r="A123" s="132" t="s">
        <v>607</v>
      </c>
      <c r="B123">
        <f>IFERROR(FIND(A123,Final!$I$22,1),0)</f>
        <v>0</v>
      </c>
      <c r="C123" t="str">
        <f t="shared" si="7"/>
        <v/>
      </c>
      <c r="D123" t="str">
        <v/>
      </c>
    </row>
    <row r="124" spans="1:4">
      <c r="A124" s="132" t="s">
        <v>605</v>
      </c>
      <c r="B124">
        <f>IFERROR(FIND(A124,Final!$I$22,1),0)</f>
        <v>0</v>
      </c>
      <c r="C124" t="str">
        <f t="shared" si="7"/>
        <v/>
      </c>
      <c r="D124" t="str">
        <v/>
      </c>
    </row>
    <row r="125" spans="1:4">
      <c r="A125" s="132" t="s">
        <v>608</v>
      </c>
      <c r="B125">
        <f>IFERROR(FIND(A125,Final!$I$22,1),0)</f>
        <v>0</v>
      </c>
      <c r="C125" t="str">
        <f t="shared" si="7"/>
        <v/>
      </c>
      <c r="D125" t="str">
        <v/>
      </c>
    </row>
    <row r="126" spans="1:4">
      <c r="A126" s="132" t="s">
        <v>609</v>
      </c>
      <c r="B126">
        <f>IFERROR(FIND(A126,Final!$I$22,1),0)</f>
        <v>0</v>
      </c>
      <c r="C126" t="str">
        <f t="shared" si="7"/>
        <v/>
      </c>
      <c r="D126" t="str">
        <v/>
      </c>
    </row>
    <row r="127" spans="1:4">
      <c r="A127" s="132" t="s">
        <v>610</v>
      </c>
      <c r="B127">
        <f>IFERROR(FIND(A127,Final!$I$22,1),0)</f>
        <v>0</v>
      </c>
      <c r="C127" t="str">
        <f t="shared" si="7"/>
        <v/>
      </c>
      <c r="D127" t="str">
        <v/>
      </c>
    </row>
    <row r="128" spans="1:4">
      <c r="A128" s="132" t="s">
        <v>627</v>
      </c>
      <c r="B128">
        <f>IFERROR(FIND(A128,Final!$I$22,1),0)</f>
        <v>0</v>
      </c>
      <c r="C128" t="str">
        <f t="shared" si="7"/>
        <v/>
      </c>
      <c r="D128" t="str">
        <v/>
      </c>
    </row>
    <row r="129" spans="1:4">
      <c r="A129" s="132" t="s">
        <v>628</v>
      </c>
      <c r="B129">
        <f>IFERROR(FIND(A129,Final!$I$22,1),0)</f>
        <v>0</v>
      </c>
      <c r="C129" t="str">
        <f t="shared" si="7"/>
        <v/>
      </c>
      <c r="D129" t="str">
        <v/>
      </c>
    </row>
    <row r="130" spans="1:4">
      <c r="A130" s="132" t="s">
        <v>634</v>
      </c>
      <c r="B130">
        <f>IFERROR(FIND(A130,Final!$I$22,1),0)</f>
        <v>0</v>
      </c>
      <c r="C130" t="str">
        <f t="shared" si="7"/>
        <v/>
      </c>
      <c r="D130" t="str">
        <v/>
      </c>
    </row>
    <row r="131" spans="1:4">
      <c r="A131" s="132" t="s">
        <v>635</v>
      </c>
      <c r="B131">
        <f>IFERROR(FIND(A131,Final!$I$22,1),0)</f>
        <v>0</v>
      </c>
      <c r="C131" t="str">
        <f t="shared" si="7"/>
        <v/>
      </c>
      <c r="D131" t="str">
        <v/>
      </c>
    </row>
    <row r="132" spans="1:4">
      <c r="A132" s="132" t="s">
        <v>639</v>
      </c>
      <c r="B132">
        <f>IFERROR(FIND(A132,Final!$I$22,1),0)</f>
        <v>0</v>
      </c>
      <c r="C132" t="str">
        <f t="shared" si="7"/>
        <v/>
      </c>
      <c r="D132" t="str">
        <v/>
      </c>
    </row>
    <row r="133" spans="1:4">
      <c r="A133" s="132" t="s">
        <v>640</v>
      </c>
      <c r="B133">
        <f>IFERROR(FIND(A133,Final!$I$22,1),0)</f>
        <v>0</v>
      </c>
      <c r="C133" t="str">
        <f t="shared" si="7"/>
        <v/>
      </c>
      <c r="D133" t="str">
        <v/>
      </c>
    </row>
    <row r="134" spans="1:4">
      <c r="A134" s="132" t="s">
        <v>643</v>
      </c>
      <c r="B134">
        <f>IFERROR(FIND(A134,Final!$I$22,1),0)</f>
        <v>0</v>
      </c>
      <c r="C134" t="str">
        <f t="shared" si="7"/>
        <v/>
      </c>
      <c r="D134" t="str">
        <v/>
      </c>
    </row>
    <row r="135" spans="1:4">
      <c r="A135" s="132" t="s">
        <v>644</v>
      </c>
      <c r="B135">
        <f>IFERROR(FIND(A135,Final!$I$22,1),0)</f>
        <v>0</v>
      </c>
      <c r="C135" t="str">
        <f t="shared" si="7"/>
        <v/>
      </c>
      <c r="D135" t="str">
        <v/>
      </c>
    </row>
    <row r="136" spans="1:4">
      <c r="A136" s="132" t="s">
        <v>645</v>
      </c>
      <c r="B136">
        <f>IFERROR(FIND(A136,Final!$I$22,1),0)</f>
        <v>0</v>
      </c>
      <c r="C136" t="str">
        <f t="shared" si="7"/>
        <v/>
      </c>
      <c r="D136" t="str">
        <v/>
      </c>
    </row>
    <row r="137" spans="1:4">
      <c r="A137" s="132" t="s">
        <v>646</v>
      </c>
      <c r="B137">
        <f>IFERROR(FIND(A137,Final!$I$22,1),0)</f>
        <v>0</v>
      </c>
      <c r="C137" t="str">
        <f t="shared" si="7"/>
        <v/>
      </c>
      <c r="D137" t="str">
        <v/>
      </c>
    </row>
    <row r="138" spans="1:4">
      <c r="A138" s="132" t="s">
        <v>647</v>
      </c>
      <c r="B138">
        <f>IFERROR(FIND(A138,Final!$I$22,1),0)</f>
        <v>0</v>
      </c>
      <c r="C138" t="str">
        <f t="shared" si="7"/>
        <v/>
      </c>
      <c r="D138" t="str">
        <v/>
      </c>
    </row>
    <row r="139" spans="1:4">
      <c r="A139" s="132" t="s">
        <v>648</v>
      </c>
      <c r="B139">
        <f>IFERROR(FIND(A139,Final!$I$22,1),0)</f>
        <v>0</v>
      </c>
      <c r="C139" t="str">
        <f t="shared" si="7"/>
        <v/>
      </c>
      <c r="D139" t="str">
        <v/>
      </c>
    </row>
    <row r="140" spans="1:4">
      <c r="A140" s="132" t="s">
        <v>653</v>
      </c>
      <c r="B140">
        <f>IFERROR(FIND(A140,Final!$I$22,1),0)</f>
        <v>0</v>
      </c>
      <c r="C140" t="str">
        <f t="shared" si="7"/>
        <v/>
      </c>
      <c r="D140" t="str">
        <v/>
      </c>
    </row>
    <row r="141" spans="1:4">
      <c r="A141" s="132" t="s">
        <v>654</v>
      </c>
      <c r="B141">
        <f>IFERROR(FIND(A141,Final!$I$22,1),0)</f>
        <v>0</v>
      </c>
      <c r="C141" t="str">
        <f t="shared" si="7"/>
        <v/>
      </c>
      <c r="D141" t="str">
        <v/>
      </c>
    </row>
    <row r="142" spans="1:4">
      <c r="A142" s="132" t="s">
        <v>653</v>
      </c>
      <c r="B142">
        <f>IFERROR(FIND(A142,Final!$I$22,1),0)</f>
        <v>0</v>
      </c>
      <c r="C142" t="str">
        <f t="shared" si="7"/>
        <v/>
      </c>
      <c r="D142" t="str">
        <v/>
      </c>
    </row>
    <row r="143" spans="1:4">
      <c r="A143" s="132" t="s">
        <v>655</v>
      </c>
      <c r="B143">
        <f>IFERROR(FIND(A143,Final!$I$22,1),0)</f>
        <v>0</v>
      </c>
      <c r="C143" t="str">
        <f t="shared" si="7"/>
        <v/>
      </c>
      <c r="D143" t="str">
        <v/>
      </c>
    </row>
    <row r="144" spans="1:4">
      <c r="A144" s="132" t="s">
        <v>656</v>
      </c>
      <c r="B144">
        <f>IFERROR(FIND(A144,Final!$I$22,1),0)</f>
        <v>0</v>
      </c>
      <c r="C144" t="str">
        <f t="shared" si="7"/>
        <v/>
      </c>
      <c r="D144" t="str">
        <v/>
      </c>
    </row>
    <row r="145" spans="1:4" ht="15.75" thickBot="1">
      <c r="A145" s="134" t="s">
        <v>657</v>
      </c>
      <c r="B145">
        <f>IFERROR(FIND(A145,Final!$I$22,1),0)</f>
        <v>0</v>
      </c>
      <c r="C145" t="str">
        <f t="shared" si="7"/>
        <v/>
      </c>
      <c r="D145" t="str">
        <v/>
      </c>
    </row>
    <row r="147" spans="1:4">
      <c r="A147" t="s">
        <v>796</v>
      </c>
      <c r="B147">
        <f>IFERROR(FIND(A147,Final!$I$22,1),0)</f>
        <v>0</v>
      </c>
      <c r="C147" t="str">
        <f t="shared" si="7"/>
        <v/>
      </c>
      <c r="D147" t="str" cm="1">
        <f t="array" ref="D147:D161">_xlfn._xlws.SORT(C147:C161,1,-1)</f>
        <v>Veste de cuir</v>
      </c>
    </row>
    <row r="148" spans="1:4">
      <c r="A148" t="s">
        <v>797</v>
      </c>
      <c r="B148">
        <f>IFERROR(FIND(A148,Final!$I$22,1),0)</f>
        <v>0</v>
      </c>
      <c r="C148" t="str">
        <f t="shared" si="7"/>
        <v/>
      </c>
      <c r="D148" t="str">
        <v/>
      </c>
    </row>
    <row r="149" spans="1:4">
      <c r="A149" t="s">
        <v>807</v>
      </c>
      <c r="B149">
        <f>IFERROR(FIND(A149,Final!$I$22,1),0)</f>
        <v>0</v>
      </c>
      <c r="C149" t="str">
        <f t="shared" si="7"/>
        <v/>
      </c>
      <c r="D149" t="str">
        <v/>
      </c>
    </row>
    <row r="150" spans="1:4">
      <c r="A150" t="s">
        <v>798</v>
      </c>
      <c r="B150">
        <f>IFERROR(FIND(A150,Final!$I$22,1),0)</f>
        <v>0</v>
      </c>
      <c r="C150" t="str">
        <f t="shared" si="7"/>
        <v/>
      </c>
      <c r="D150" t="str">
        <v/>
      </c>
    </row>
    <row r="151" spans="1:4">
      <c r="A151" t="s">
        <v>799</v>
      </c>
      <c r="B151">
        <f>IFERROR(FIND(A151,Final!$I$22,1),0)</f>
        <v>0</v>
      </c>
      <c r="C151" t="str">
        <f t="shared" si="7"/>
        <v/>
      </c>
      <c r="D151" t="str">
        <v/>
      </c>
    </row>
    <row r="152" spans="1:4">
      <c r="A152" t="s">
        <v>800</v>
      </c>
      <c r="B152">
        <f>IFERROR(FIND(A152,Final!$I$22,1),0)</f>
        <v>57</v>
      </c>
      <c r="C152" t="str">
        <f t="shared" si="7"/>
        <v>Veste de cuir</v>
      </c>
      <c r="D152" t="str">
        <v/>
      </c>
    </row>
    <row r="153" spans="1:4">
      <c r="A153" t="s">
        <v>801</v>
      </c>
      <c r="B153">
        <f>IFERROR(FIND(A153,Final!$I$22,1),0)</f>
        <v>0</v>
      </c>
      <c r="C153" t="str">
        <f t="shared" si="7"/>
        <v/>
      </c>
      <c r="D153" t="str">
        <v/>
      </c>
    </row>
    <row r="154" spans="1:4">
      <c r="A154" t="s">
        <v>802</v>
      </c>
      <c r="B154">
        <f>IFERROR(FIND(A154,Final!$I$22,1),0)</f>
        <v>0</v>
      </c>
      <c r="C154" t="str">
        <f t="shared" si="7"/>
        <v/>
      </c>
      <c r="D154" t="str">
        <v/>
      </c>
    </row>
    <row r="155" spans="1:4">
      <c r="A155" t="s">
        <v>803</v>
      </c>
      <c r="B155">
        <f>IFERROR(FIND(A155,Final!$I$22,1),0)</f>
        <v>0</v>
      </c>
      <c r="C155" t="str">
        <f t="shared" si="7"/>
        <v/>
      </c>
      <c r="D155" t="str">
        <v/>
      </c>
    </row>
    <row r="156" spans="1:4">
      <c r="A156" t="s">
        <v>804</v>
      </c>
      <c r="B156">
        <f>IFERROR(FIND(A156,Final!$I$22,1),0)</f>
        <v>0</v>
      </c>
      <c r="C156" t="str">
        <f t="shared" si="7"/>
        <v/>
      </c>
      <c r="D156" t="str">
        <v/>
      </c>
    </row>
    <row r="157" spans="1:4">
      <c r="A157" t="s">
        <v>805</v>
      </c>
      <c r="B157">
        <f>IFERROR(FIND(A157,Final!$I$22,1),0)</f>
        <v>0</v>
      </c>
      <c r="C157" t="str">
        <f t="shared" ref="C157:C161" si="8">IF(B157&gt;0,A157,"")</f>
        <v/>
      </c>
      <c r="D157" t="str">
        <v/>
      </c>
    </row>
    <row r="158" spans="1:4">
      <c r="A158" t="s">
        <v>806</v>
      </c>
      <c r="B158">
        <f>IFERROR(FIND(A158,Final!$I$22,1),0)</f>
        <v>0</v>
      </c>
      <c r="C158" t="str">
        <f t="shared" si="8"/>
        <v/>
      </c>
      <c r="D158" t="str">
        <v/>
      </c>
    </row>
    <row r="159" spans="1:4">
      <c r="A159" t="s">
        <v>808</v>
      </c>
      <c r="B159">
        <f>IFERROR(FIND(A159,Final!$I$22,1),0)</f>
        <v>0</v>
      </c>
      <c r="C159" t="str">
        <f t="shared" si="8"/>
        <v/>
      </c>
      <c r="D159" t="str">
        <v/>
      </c>
    </row>
    <row r="160" spans="1:4">
      <c r="A160" t="s">
        <v>808</v>
      </c>
      <c r="B160">
        <f>IFERROR(FIND(A160,Final!$I$22,1),0)</f>
        <v>0</v>
      </c>
      <c r="C160" t="str">
        <f t="shared" si="8"/>
        <v/>
      </c>
      <c r="D160" t="str">
        <v/>
      </c>
    </row>
    <row r="161" spans="1:4">
      <c r="A161" t="s">
        <v>799</v>
      </c>
      <c r="B161">
        <f>IFERROR(FIND(A161,Final!$I$22,1),0)</f>
        <v>0</v>
      </c>
      <c r="C161" t="str">
        <f t="shared" si="8"/>
        <v/>
      </c>
      <c r="D161" t="str">
        <v/>
      </c>
    </row>
  </sheetData>
  <sortState xmlns:xlrd2="http://schemas.microsoft.com/office/spreadsheetml/2017/richdata2" ref="A49:K56">
    <sortCondition ref="A47:A56"/>
  </sortState>
  <mergeCells count="52">
    <mergeCell ref="F7:G7"/>
    <mergeCell ref="D4:E4"/>
    <mergeCell ref="D5:E5"/>
    <mergeCell ref="D6:E6"/>
    <mergeCell ref="D7:E7"/>
    <mergeCell ref="F9:G9"/>
    <mergeCell ref="F10:G10"/>
    <mergeCell ref="F11:G11"/>
    <mergeCell ref="F12:G12"/>
    <mergeCell ref="F13:G13"/>
    <mergeCell ref="F3:G3"/>
    <mergeCell ref="D3:E3"/>
    <mergeCell ref="B3:C3"/>
    <mergeCell ref="B5:C5"/>
    <mergeCell ref="B6:C6"/>
    <mergeCell ref="F4:G4"/>
    <mergeCell ref="F5:G5"/>
    <mergeCell ref="F6:G6"/>
    <mergeCell ref="B13:C13"/>
    <mergeCell ref="B4:C4"/>
    <mergeCell ref="F14:G14"/>
    <mergeCell ref="B7:C7"/>
    <mergeCell ref="B8:C8"/>
    <mergeCell ref="B9:C9"/>
    <mergeCell ref="B10:C10"/>
    <mergeCell ref="B11:C11"/>
    <mergeCell ref="B12:C12"/>
    <mergeCell ref="D8:E8"/>
    <mergeCell ref="D9:E9"/>
    <mergeCell ref="D10:E10"/>
    <mergeCell ref="D11:E11"/>
    <mergeCell ref="D12:E12"/>
    <mergeCell ref="D13:E13"/>
    <mergeCell ref="F8:G8"/>
    <mergeCell ref="F15:G15"/>
    <mergeCell ref="F16:G16"/>
    <mergeCell ref="F17:G17"/>
    <mergeCell ref="F18:G18"/>
    <mergeCell ref="F19:G19"/>
    <mergeCell ref="A77:E77"/>
    <mergeCell ref="N45:O45"/>
    <mergeCell ref="D67:F67"/>
    <mergeCell ref="D65:F65"/>
    <mergeCell ref="D66:F66"/>
    <mergeCell ref="A69:F69"/>
    <mergeCell ref="J64:K64"/>
    <mergeCell ref="B64:D64"/>
    <mergeCell ref="A45:K45"/>
    <mergeCell ref="E64:F64"/>
    <mergeCell ref="G64:H64"/>
    <mergeCell ref="A63:F63"/>
    <mergeCell ref="H65:I65"/>
  </mergeCells>
  <phoneticPr fontId="1"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9C65-D206-4A8D-89EE-C51FC9EC86B5}">
  <dimension ref="A1:DL234"/>
  <sheetViews>
    <sheetView topLeftCell="CK1" zoomScale="85" zoomScaleNormal="85" workbookViewId="0">
      <selection activeCell="C212" sqref="C111:C212"/>
    </sheetView>
  </sheetViews>
  <sheetFormatPr baseColWidth="10" defaultRowHeight="15"/>
  <cols>
    <col min="1" max="1" width="13.85546875" bestFit="1" customWidth="1"/>
    <col min="2" max="2" width="5.28515625" bestFit="1" customWidth="1"/>
    <col min="3" max="3" width="31.85546875" bestFit="1" customWidth="1"/>
    <col min="4" max="4" width="13.85546875" bestFit="1" customWidth="1"/>
    <col min="5" max="5" width="4.85546875" style="1" bestFit="1" customWidth="1"/>
    <col min="6" max="6" width="4.5703125" style="1" bestFit="1" customWidth="1"/>
    <col min="7" max="7" width="5.140625" style="1" bestFit="1" customWidth="1"/>
    <col min="8" max="8" width="5.28515625" style="1" bestFit="1" customWidth="1"/>
    <col min="9" max="9" width="5.140625" style="1" bestFit="1" customWidth="1"/>
    <col min="10" max="10" width="4.28515625" style="1" bestFit="1" customWidth="1"/>
    <col min="11" max="11" width="5.28515625" style="1" bestFit="1" customWidth="1"/>
    <col min="12" max="12" width="4.28515625" style="1" bestFit="1" customWidth="1"/>
    <col min="13" max="13" width="5.140625" style="1" bestFit="1" customWidth="1"/>
    <col min="14" max="14" width="5.28515625" style="1" bestFit="1" customWidth="1"/>
    <col min="15" max="15" width="4.5703125" style="1" bestFit="1" customWidth="1"/>
    <col min="16" max="16" width="11" style="1" bestFit="1" customWidth="1"/>
    <col min="17" max="17" width="11.5703125" style="1" bestFit="1" customWidth="1"/>
    <col min="18" max="18" width="5.5703125" style="1" bestFit="1" customWidth="1"/>
    <col min="19" max="19" width="11.5703125" style="2" bestFit="1" customWidth="1"/>
    <col min="20" max="20" width="24.28515625" bestFit="1" customWidth="1"/>
    <col min="21" max="21" width="25.140625" bestFit="1" customWidth="1"/>
    <col min="22" max="22" width="11.85546875" bestFit="1" customWidth="1"/>
    <col min="23" max="23" width="33.140625" bestFit="1" customWidth="1"/>
    <col min="24" max="24" width="16.5703125" bestFit="1" customWidth="1"/>
    <col min="25" max="25" width="14.42578125" bestFit="1" customWidth="1"/>
    <col min="26" max="26" width="20.42578125" bestFit="1" customWidth="1"/>
    <col min="27" max="27" width="31.85546875" bestFit="1" customWidth="1"/>
    <col min="28" max="28" width="25.28515625" bestFit="1" customWidth="1"/>
    <col min="29" max="29" width="27.42578125" bestFit="1" customWidth="1"/>
    <col min="30" max="30" width="20.85546875" bestFit="1" customWidth="1"/>
    <col min="31" max="31" width="17.5703125" bestFit="1" customWidth="1"/>
    <col min="32" max="32" width="20.42578125" bestFit="1" customWidth="1"/>
    <col min="33" max="33" width="23.28515625" style="15" bestFit="1" customWidth="1"/>
    <col min="34" max="34" width="19.42578125" bestFit="1" customWidth="1"/>
    <col min="35" max="35" width="105.85546875" bestFit="1" customWidth="1"/>
    <col min="36" max="36" width="29.7109375" bestFit="1" customWidth="1"/>
    <col min="37" max="37" width="21.7109375" bestFit="1" customWidth="1"/>
    <col min="38" max="38" width="14.140625" bestFit="1" customWidth="1"/>
    <col min="39" max="40" width="12.5703125" bestFit="1" customWidth="1"/>
    <col min="41" max="41" width="9.7109375" bestFit="1" customWidth="1"/>
    <col min="42" max="42" width="10.85546875" bestFit="1" customWidth="1"/>
    <col min="43" max="43" width="20.42578125" bestFit="1" customWidth="1"/>
    <col min="44" max="44" width="17.5703125" bestFit="1" customWidth="1"/>
    <col min="45" max="45" width="19" bestFit="1" customWidth="1"/>
    <col min="46" max="46" width="12.28515625" bestFit="1" customWidth="1"/>
    <col min="47" max="49" width="19.85546875" bestFit="1" customWidth="1"/>
    <col min="50" max="52" width="15.7109375" bestFit="1" customWidth="1"/>
    <col min="53" max="53" width="12.5703125" bestFit="1" customWidth="1"/>
    <col min="54" max="54" width="15.7109375" bestFit="1" customWidth="1"/>
    <col min="55" max="55" width="14.140625" bestFit="1" customWidth="1"/>
    <col min="56" max="56" width="19.5703125" bestFit="1" customWidth="1"/>
    <col min="57" max="57" width="17.5703125" bestFit="1" customWidth="1"/>
    <col min="58" max="58" width="24.5703125" bestFit="1" customWidth="1"/>
    <col min="59" max="59" width="28.140625" bestFit="1" customWidth="1"/>
    <col min="60" max="60" width="24.85546875" bestFit="1" customWidth="1"/>
    <col min="61" max="61" width="27.7109375" bestFit="1" customWidth="1"/>
    <col min="62" max="62" width="23.7109375" bestFit="1" customWidth="1"/>
    <col min="63" max="63" width="32.140625" bestFit="1" customWidth="1"/>
    <col min="64" max="65" width="29" bestFit="1" customWidth="1"/>
    <col min="66" max="66" width="22.7109375" bestFit="1" customWidth="1"/>
    <col min="67" max="67" width="25.85546875" bestFit="1" customWidth="1"/>
    <col min="68" max="68" width="28.42578125" bestFit="1" customWidth="1"/>
    <col min="69" max="69" width="33.140625" bestFit="1" customWidth="1"/>
    <col min="70" max="70" width="99" customWidth="1"/>
    <col min="71" max="71" width="18.5703125" bestFit="1" customWidth="1"/>
    <col min="72" max="72" width="18.28515625" bestFit="1" customWidth="1"/>
    <col min="73" max="73" width="18.5703125" bestFit="1" customWidth="1"/>
    <col min="74" max="74" width="23.28515625" bestFit="1" customWidth="1"/>
    <col min="75" max="75" width="19.140625" bestFit="1" customWidth="1"/>
    <col min="76" max="76" width="18.5703125" bestFit="1" customWidth="1"/>
    <col min="77" max="77" width="20.42578125" bestFit="1" customWidth="1"/>
    <col min="78" max="79" width="19.140625" bestFit="1" customWidth="1"/>
    <col min="80" max="80" width="35.28515625" bestFit="1" customWidth="1"/>
    <col min="81" max="81" width="15" bestFit="1" customWidth="1"/>
    <col min="82" max="82" width="14.140625" bestFit="1" customWidth="1"/>
    <col min="83" max="83" width="15" bestFit="1" customWidth="1"/>
    <col min="84" max="84" width="12.28515625" bestFit="1" customWidth="1"/>
    <col min="85" max="85" width="20.42578125" bestFit="1" customWidth="1"/>
    <col min="86" max="86" width="55" customWidth="1"/>
    <col min="87" max="87" width="23.5703125" customWidth="1"/>
    <col min="88" max="88" width="15.42578125" bestFit="1" customWidth="1"/>
    <col min="89" max="89" width="13.140625" bestFit="1" customWidth="1"/>
    <col min="90" max="90" width="7.42578125" bestFit="1" customWidth="1"/>
    <col min="91" max="91" width="10.28515625" bestFit="1" customWidth="1"/>
    <col min="92" max="92" width="13.42578125" bestFit="1" customWidth="1"/>
    <col min="93" max="93" width="14.140625" bestFit="1" customWidth="1"/>
    <col min="94" max="94" width="20.5703125" bestFit="1" customWidth="1"/>
    <col min="95" max="95" width="11.85546875" bestFit="1" customWidth="1"/>
    <col min="96" max="96" width="11" bestFit="1" customWidth="1"/>
    <col min="97" max="97" width="18.85546875" bestFit="1" customWidth="1"/>
    <col min="98" max="98" width="17.5703125" bestFit="1" customWidth="1"/>
    <col min="99" max="99" width="11.85546875" bestFit="1" customWidth="1"/>
    <col min="100" max="100" width="11" bestFit="1" customWidth="1"/>
    <col min="101" max="101" width="28" bestFit="1" customWidth="1"/>
    <col min="102" max="103" width="11.85546875" bestFit="1" customWidth="1"/>
    <col min="104" max="104" width="14.42578125" bestFit="1" customWidth="1"/>
    <col min="105" max="106" width="13.85546875" bestFit="1" customWidth="1"/>
    <col min="107" max="116" width="5.5703125" bestFit="1" customWidth="1"/>
  </cols>
  <sheetData>
    <row r="1" spans="1:116" ht="16.5" thickBot="1">
      <c r="C1" t="str">
        <f>'Feuille Personnage'!D2</f>
        <v>Humain</v>
      </c>
      <c r="E1" s="1" t="s">
        <v>3</v>
      </c>
      <c r="F1" s="1" t="s">
        <v>4</v>
      </c>
      <c r="G1" s="1" t="s">
        <v>6</v>
      </c>
      <c r="H1" s="1" t="s">
        <v>5</v>
      </c>
      <c r="I1" s="1" t="s">
        <v>7</v>
      </c>
      <c r="J1" s="1" t="s">
        <v>8</v>
      </c>
      <c r="K1" s="1" t="s">
        <v>9</v>
      </c>
      <c r="L1" s="1" t="s">
        <v>10</v>
      </c>
      <c r="M1" s="1" t="s">
        <v>11</v>
      </c>
      <c r="N1" s="1" t="s">
        <v>12</v>
      </c>
      <c r="O1" s="1" t="s">
        <v>17</v>
      </c>
      <c r="P1" s="1" t="s">
        <v>18</v>
      </c>
      <c r="Q1" s="1" t="s">
        <v>20</v>
      </c>
      <c r="R1" s="1" t="s">
        <v>19</v>
      </c>
      <c r="S1" s="2" t="s">
        <v>159</v>
      </c>
      <c r="T1" s="447" t="s">
        <v>509</v>
      </c>
      <c r="U1" s="448"/>
      <c r="V1" s="448"/>
      <c r="W1" s="448"/>
      <c r="X1" s="448"/>
      <c r="Y1" s="448"/>
      <c r="Z1" s="448"/>
      <c r="AA1" s="448"/>
      <c r="AB1" s="448"/>
      <c r="AC1" s="448"/>
      <c r="AD1" s="448"/>
      <c r="AE1" s="449"/>
      <c r="AF1" s="450" t="s">
        <v>160</v>
      </c>
      <c r="AG1" s="451"/>
      <c r="AH1" s="451"/>
      <c r="AI1" s="451"/>
      <c r="AJ1" s="451"/>
      <c r="AK1" s="452"/>
      <c r="AL1" s="53" t="s">
        <v>185</v>
      </c>
      <c r="AM1" s="378" t="s">
        <v>185</v>
      </c>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t="s">
        <v>428</v>
      </c>
      <c r="CY1" t="s">
        <v>429</v>
      </c>
      <c r="CZ1" t="s">
        <v>499</v>
      </c>
      <c r="DA1" t="s">
        <v>500</v>
      </c>
    </row>
    <row r="2" spans="1:116">
      <c r="A2" t="s">
        <v>13</v>
      </c>
      <c r="B2" t="s">
        <v>3</v>
      </c>
      <c r="C2">
        <f>VLOOKUP($C$1,$D$2:$N$6,2,FALSE)</f>
        <v>20</v>
      </c>
      <c r="D2" t="s">
        <v>0</v>
      </c>
      <c r="E2" s="1">
        <v>20</v>
      </c>
      <c r="F2" s="1">
        <v>20</v>
      </c>
      <c r="G2" s="1">
        <v>20</v>
      </c>
      <c r="H2" s="1">
        <v>20</v>
      </c>
      <c r="I2" s="1">
        <v>20</v>
      </c>
      <c r="J2" s="1">
        <v>20</v>
      </c>
      <c r="K2" s="1">
        <v>20</v>
      </c>
      <c r="L2" s="1">
        <v>20</v>
      </c>
      <c r="M2" s="1">
        <v>20</v>
      </c>
      <c r="N2" s="1">
        <v>20</v>
      </c>
      <c r="O2" s="1">
        <v>2</v>
      </c>
      <c r="P2" s="1">
        <v>1</v>
      </c>
      <c r="Q2" s="1">
        <v>3</v>
      </c>
      <c r="R2" s="1">
        <v>4</v>
      </c>
      <c r="S2" s="2">
        <v>3</v>
      </c>
      <c r="T2" s="44" t="s">
        <v>506</v>
      </c>
      <c r="U2" s="45" t="s">
        <v>132</v>
      </c>
      <c r="V2" s="45" t="s">
        <v>127</v>
      </c>
      <c r="W2" s="45" t="s">
        <v>296</v>
      </c>
      <c r="X2" s="45" t="s">
        <v>133</v>
      </c>
      <c r="Y2" s="45" t="s">
        <v>126</v>
      </c>
      <c r="Z2" s="45" t="s">
        <v>174</v>
      </c>
      <c r="AA2" s="45" t="s">
        <v>300</v>
      </c>
      <c r="AB2" s="45" t="s">
        <v>125</v>
      </c>
      <c r="AC2" s="45" t="s">
        <v>175</v>
      </c>
      <c r="AD2" s="45" t="s">
        <v>184</v>
      </c>
      <c r="AE2" s="47" t="s">
        <v>176</v>
      </c>
      <c r="AF2" s="48" t="s">
        <v>505</v>
      </c>
      <c r="AG2" s="46" t="s">
        <v>152</v>
      </c>
      <c r="AH2" s="46" t="str" cm="1">
        <f t="array" aca="1" ref="AH2" ca="1">INDEX(AA12:AA43,RANDBETWEEN(1,32))</f>
        <v>Ton Parfait</v>
      </c>
      <c r="AI2" s="46" t="str" cm="1">
        <f t="array" aca="1" ref="AI2" ca="1">INDEX(AA12:AA43,RANDBETWEEN(1,32))</f>
        <v>Tireur de précision</v>
      </c>
      <c r="AJ2" s="46" t="str" cm="1">
        <f t="array" aca="1" ref="AJ2" ca="1">INDEX(AA12:AA43,RANDBETWEEN(1,32))</f>
        <v>Intelligent</v>
      </c>
      <c r="AK2" s="50" t="s">
        <v>173</v>
      </c>
      <c r="AL2" s="54" t="str" cm="1">
        <f t="array" aca="1" ref="AL2" ca="1">INDEX(AM2:CW2,RANDBETWEEN(1,63))</f>
        <v xml:space="preserve">Bailli </v>
      </c>
      <c r="AM2" t="s">
        <v>29</v>
      </c>
      <c r="AN2" t="s">
        <v>23</v>
      </c>
      <c r="AO2" t="s">
        <v>30</v>
      </c>
      <c r="AP2" t="s">
        <v>34</v>
      </c>
      <c r="AQ2" t="s">
        <v>286</v>
      </c>
      <c r="AR2" t="s">
        <v>54</v>
      </c>
      <c r="AS2" t="s">
        <v>280</v>
      </c>
      <c r="AT2" t="s">
        <v>64</v>
      </c>
      <c r="AU2" t="s">
        <v>59</v>
      </c>
      <c r="AV2" t="s">
        <v>43</v>
      </c>
      <c r="AW2" t="s">
        <v>48</v>
      </c>
      <c r="AX2" t="s">
        <v>66</v>
      </c>
      <c r="AY2" t="s">
        <v>49</v>
      </c>
      <c r="AZ2" t="s">
        <v>52</v>
      </c>
      <c r="BA2" t="s">
        <v>164</v>
      </c>
      <c r="BB2" t="s">
        <v>56</v>
      </c>
      <c r="BC2" t="s">
        <v>57</v>
      </c>
      <c r="BD2" t="s">
        <v>35</v>
      </c>
      <c r="BE2" t="s">
        <v>46</v>
      </c>
      <c r="BF2" t="s">
        <v>36</v>
      </c>
      <c r="BG2" t="s">
        <v>32</v>
      </c>
      <c r="BH2" t="s">
        <v>288</v>
      </c>
      <c r="BI2" t="s">
        <v>28</v>
      </c>
      <c r="BJ2" t="s">
        <v>39</v>
      </c>
      <c r="BK2" t="s">
        <v>285</v>
      </c>
      <c r="BL2" t="s">
        <v>50</v>
      </c>
      <c r="BM2" t="s">
        <v>65</v>
      </c>
      <c r="BN2" t="s">
        <v>67</v>
      </c>
      <c r="BO2" t="s">
        <v>42</v>
      </c>
      <c r="BP2" t="s">
        <v>62</v>
      </c>
      <c r="BQ2" t="s">
        <v>24</v>
      </c>
      <c r="BR2" t="s">
        <v>40</v>
      </c>
      <c r="BS2" t="s">
        <v>281</v>
      </c>
      <c r="BT2" t="s">
        <v>289</v>
      </c>
      <c r="BU2" t="s">
        <v>276</v>
      </c>
      <c r="BV2" t="s">
        <v>26</v>
      </c>
      <c r="BW2" t="s">
        <v>31</v>
      </c>
      <c r="BX2" t="s">
        <v>51</v>
      </c>
      <c r="BY2" t="s">
        <v>279</v>
      </c>
      <c r="BZ2" t="s">
        <v>44</v>
      </c>
      <c r="CA2" t="s">
        <v>45</v>
      </c>
      <c r="CB2" t="s">
        <v>58</v>
      </c>
      <c r="CC2" t="s">
        <v>284</v>
      </c>
      <c r="CD2" t="s">
        <v>37</v>
      </c>
      <c r="CE2" t="s">
        <v>25</v>
      </c>
      <c r="CF2" t="s">
        <v>53</v>
      </c>
      <c r="CG2" t="s">
        <v>55</v>
      </c>
      <c r="CH2" t="s">
        <v>61</v>
      </c>
      <c r="CI2" t="s">
        <v>27</v>
      </c>
      <c r="CJ2" t="s">
        <v>70</v>
      </c>
      <c r="CK2" t="s">
        <v>287</v>
      </c>
      <c r="CL2" t="s">
        <v>33</v>
      </c>
      <c r="CM2" t="s">
        <v>60</v>
      </c>
      <c r="CN2" t="s">
        <v>157</v>
      </c>
      <c r="CO2" t="s">
        <v>283</v>
      </c>
      <c r="CP2" t="s">
        <v>38</v>
      </c>
      <c r="CQ2" t="s">
        <v>69</v>
      </c>
      <c r="CR2" t="s">
        <v>290</v>
      </c>
      <c r="CS2" t="s">
        <v>41</v>
      </c>
      <c r="CT2" t="s">
        <v>291</v>
      </c>
      <c r="CU2" t="s">
        <v>282</v>
      </c>
      <c r="CV2" t="s">
        <v>47</v>
      </c>
      <c r="CW2" t="s">
        <v>63</v>
      </c>
      <c r="CX2">
        <f ca="1">2.5*(RANDBETWEEN(1,10)+RANDBETWEEN(1,10))+144</f>
        <v>169</v>
      </c>
      <c r="CY2">
        <f ca="1">(RANDBETWEEN(1,10))+15</f>
        <v>23</v>
      </c>
      <c r="CZ2" t="str" cm="1">
        <f t="array" aca="1" ref="CZ2" ca="1">INDEX(CX13:CX22,RANDBETWEEN(1,10))</f>
        <v>Noisette</v>
      </c>
      <c r="DA2" t="str" cm="1">
        <f t="array" aca="1" ref="DA2" ca="1">INDEX(CP13:CP22,RANDBETWEEN(1,10))</f>
        <v>Auburn</v>
      </c>
    </row>
    <row r="3" spans="1:116">
      <c r="A3" t="s">
        <v>0</v>
      </c>
      <c r="B3" t="s">
        <v>4</v>
      </c>
      <c r="C3">
        <f>VLOOKUP($C$1,$D$2:$N$6,3,FALSE)</f>
        <v>20</v>
      </c>
      <c r="D3" t="s">
        <v>1</v>
      </c>
      <c r="E3" s="1">
        <v>30</v>
      </c>
      <c r="F3" s="1">
        <v>20</v>
      </c>
      <c r="G3" s="1">
        <v>20</v>
      </c>
      <c r="H3" s="1">
        <v>30</v>
      </c>
      <c r="I3" s="1">
        <v>10</v>
      </c>
      <c r="J3" s="1">
        <v>20</v>
      </c>
      <c r="K3" s="1">
        <v>30</v>
      </c>
      <c r="L3" s="1">
        <v>20</v>
      </c>
      <c r="M3" s="1">
        <v>40</v>
      </c>
      <c r="N3" s="1">
        <v>10</v>
      </c>
      <c r="O3" s="1">
        <v>0</v>
      </c>
      <c r="P3" s="1">
        <v>2</v>
      </c>
      <c r="Q3" s="1">
        <v>2</v>
      </c>
      <c r="R3" s="1">
        <v>3</v>
      </c>
      <c r="S3" s="2">
        <v>0</v>
      </c>
      <c r="T3" s="34" t="s">
        <v>145</v>
      </c>
      <c r="U3" s="35" t="s">
        <v>127</v>
      </c>
      <c r="V3" s="35" t="s">
        <v>143</v>
      </c>
      <c r="W3" s="35" t="s">
        <v>671</v>
      </c>
      <c r="X3" s="35" t="s">
        <v>296</v>
      </c>
      <c r="Y3" s="35" t="s">
        <v>139</v>
      </c>
      <c r="Z3" s="35" t="s">
        <v>190</v>
      </c>
      <c r="AA3" s="35" t="s">
        <v>192</v>
      </c>
      <c r="AB3" s="35" t="s">
        <v>347</v>
      </c>
      <c r="AC3" s="35" t="s">
        <v>189</v>
      </c>
      <c r="AD3" s="35" t="s">
        <v>184</v>
      </c>
      <c r="AE3" s="38" t="s">
        <v>317</v>
      </c>
      <c r="AF3" s="41" t="s">
        <v>153</v>
      </c>
      <c r="AG3" s="40" t="s">
        <v>154</v>
      </c>
      <c r="AH3" s="40" t="s">
        <v>177</v>
      </c>
      <c r="AI3" s="40" t="s">
        <v>178</v>
      </c>
      <c r="AJ3" s="40" t="s">
        <v>179</v>
      </c>
      <c r="AK3" s="51" t="s">
        <v>114</v>
      </c>
      <c r="AL3" s="55" t="str" cm="1">
        <f t="array" aca="1" ref="AL3" ca="1">INDEX(AM3:CG3,RANDBETWEEN(1,47))</f>
        <v>Agitateur</v>
      </c>
      <c r="AM3" t="s">
        <v>29</v>
      </c>
      <c r="AN3" t="s">
        <v>23</v>
      </c>
      <c r="AO3" t="s">
        <v>30</v>
      </c>
      <c r="AP3" t="s">
        <v>34</v>
      </c>
      <c r="AQ3" t="s">
        <v>286</v>
      </c>
      <c r="AR3" t="s">
        <v>54</v>
      </c>
      <c r="AS3" t="s">
        <v>280</v>
      </c>
      <c r="AT3" t="s">
        <v>43</v>
      </c>
      <c r="AU3" t="s">
        <v>48</v>
      </c>
      <c r="AV3" t="s">
        <v>49</v>
      </c>
      <c r="AW3" t="s">
        <v>52</v>
      </c>
      <c r="AX3" t="s">
        <v>164</v>
      </c>
      <c r="AY3" t="s">
        <v>56</v>
      </c>
      <c r="AZ3" t="s">
        <v>57</v>
      </c>
      <c r="BA3" t="s">
        <v>35</v>
      </c>
      <c r="BB3" t="s">
        <v>46</v>
      </c>
      <c r="BC3" t="s">
        <v>36</v>
      </c>
      <c r="BD3" t="s">
        <v>32</v>
      </c>
      <c r="BE3" t="s">
        <v>28</v>
      </c>
      <c r="BF3" t="s">
        <v>39</v>
      </c>
      <c r="BG3" t="s">
        <v>285</v>
      </c>
      <c r="BH3" t="s">
        <v>65</v>
      </c>
      <c r="BI3" t="s">
        <v>67</v>
      </c>
      <c r="BJ3" t="s">
        <v>62</v>
      </c>
      <c r="BK3" t="s">
        <v>24</v>
      </c>
      <c r="BL3" t="s">
        <v>40</v>
      </c>
      <c r="BM3" t="s">
        <v>281</v>
      </c>
      <c r="BN3" t="s">
        <v>289</v>
      </c>
      <c r="BO3" t="s">
        <v>276</v>
      </c>
      <c r="BP3" t="s">
        <v>26</v>
      </c>
      <c r="BQ3" t="s">
        <v>31</v>
      </c>
      <c r="BR3" t="s">
        <v>51</v>
      </c>
      <c r="BS3" t="s">
        <v>279</v>
      </c>
      <c r="BT3" t="s">
        <v>44</v>
      </c>
      <c r="BU3" t="s">
        <v>58</v>
      </c>
      <c r="BV3" t="s">
        <v>284</v>
      </c>
      <c r="BW3" t="s">
        <v>37</v>
      </c>
      <c r="BX3" t="s">
        <v>287</v>
      </c>
      <c r="BY3" t="s">
        <v>33</v>
      </c>
      <c r="BZ3" t="s">
        <v>60</v>
      </c>
      <c r="CA3" t="s">
        <v>283</v>
      </c>
      <c r="CB3" t="s">
        <v>38</v>
      </c>
      <c r="CC3" t="s">
        <v>69</v>
      </c>
      <c r="CD3" t="s">
        <v>282</v>
      </c>
      <c r="CE3" t="s">
        <v>68</v>
      </c>
      <c r="CF3" t="s">
        <v>47</v>
      </c>
      <c r="CG3" t="s">
        <v>63</v>
      </c>
      <c r="CH3" t="s">
        <v>247</v>
      </c>
      <c r="CI3" t="s">
        <v>247</v>
      </c>
      <c r="CJ3" t="s">
        <v>247</v>
      </c>
      <c r="CK3" t="s">
        <v>247</v>
      </c>
      <c r="CL3" t="s">
        <v>247</v>
      </c>
      <c r="CM3" t="s">
        <v>247</v>
      </c>
      <c r="CN3" t="s">
        <v>247</v>
      </c>
      <c r="CO3" t="s">
        <v>247</v>
      </c>
      <c r="CP3" t="s">
        <v>247</v>
      </c>
      <c r="CQ3" t="s">
        <v>247</v>
      </c>
      <c r="CR3" t="s">
        <v>247</v>
      </c>
      <c r="CS3" t="s">
        <v>247</v>
      </c>
      <c r="CT3" t="s">
        <v>247</v>
      </c>
      <c r="CU3" t="s">
        <v>247</v>
      </c>
      <c r="CV3" t="s">
        <v>247</v>
      </c>
      <c r="CW3" t="s">
        <v>247</v>
      </c>
      <c r="CX3">
        <f ca="1">2.5*(RANDBETWEEN(1,10))+129</f>
        <v>136.5</v>
      </c>
      <c r="CY3">
        <f ca="1">RANDBETWEEN(10,100)+15</f>
        <v>107</v>
      </c>
      <c r="CZ3" t="str" cm="1">
        <f t="array" aca="1" ref="CZ3" ca="1">INDEX(CY13:CY22,RANDBETWEEN(1,10))</f>
        <v>Acier</v>
      </c>
      <c r="DA3" t="str" cm="1">
        <f t="array" aca="1" ref="DA3" ca="1">INDEX(CQ13:CQ22,RANDBETWEEN(1,10))</f>
        <v>Bronze</v>
      </c>
    </row>
    <row r="4" spans="1:116">
      <c r="A4" t="s">
        <v>1</v>
      </c>
      <c r="B4" t="s">
        <v>6</v>
      </c>
      <c r="C4">
        <f>VLOOKUP($C$1,$D$2:$N$6,4,FALSE)</f>
        <v>20</v>
      </c>
      <c r="D4" t="s">
        <v>2</v>
      </c>
      <c r="E4" s="1">
        <v>10</v>
      </c>
      <c r="F4" s="1">
        <v>30</v>
      </c>
      <c r="G4" s="1">
        <v>10</v>
      </c>
      <c r="H4" s="1">
        <v>20</v>
      </c>
      <c r="I4" s="1">
        <v>20</v>
      </c>
      <c r="J4" s="1">
        <v>20</v>
      </c>
      <c r="K4" s="1">
        <v>30</v>
      </c>
      <c r="L4" s="1">
        <v>20</v>
      </c>
      <c r="M4" s="1">
        <v>30</v>
      </c>
      <c r="N4" s="1">
        <v>30</v>
      </c>
      <c r="O4" s="1">
        <v>0</v>
      </c>
      <c r="P4" s="1">
        <v>2</v>
      </c>
      <c r="Q4" s="1">
        <v>3</v>
      </c>
      <c r="R4" s="1">
        <v>3</v>
      </c>
      <c r="S4" s="2">
        <v>2</v>
      </c>
      <c r="T4" s="34" t="s">
        <v>132</v>
      </c>
      <c r="U4" s="35" t="s">
        <v>145</v>
      </c>
      <c r="V4" s="35" t="s">
        <v>138</v>
      </c>
      <c r="W4" s="35" t="s">
        <v>140</v>
      </c>
      <c r="X4" s="35" t="s">
        <v>126</v>
      </c>
      <c r="Y4" s="35" t="s">
        <v>74</v>
      </c>
      <c r="Z4" s="35" t="s">
        <v>191</v>
      </c>
      <c r="AA4" s="35" t="s">
        <v>175</v>
      </c>
      <c r="AB4" s="35" t="s">
        <v>75</v>
      </c>
      <c r="AC4" s="35" t="s">
        <v>147</v>
      </c>
      <c r="AD4" s="35" t="s">
        <v>319</v>
      </c>
      <c r="AE4" s="38" t="s">
        <v>346</v>
      </c>
      <c r="AF4" s="41" t="s">
        <v>177</v>
      </c>
      <c r="AG4" s="40" t="s">
        <v>180</v>
      </c>
      <c r="AH4" s="40" t="s">
        <v>181</v>
      </c>
      <c r="AI4" s="40" t="s">
        <v>155</v>
      </c>
      <c r="AJ4" s="40" t="str" cm="1">
        <f t="array" aca="1" ref="AJ4" ca="1">INDEX(AA12:AA43,RANDBETWEEN(1,32))</f>
        <v>Sens aiguiser (au choix)</v>
      </c>
      <c r="AK4" s="51" t="str" cm="1">
        <f t="array" aca="1" ref="AK4" ca="1">INDEX(AA12:AA43,RANDBETWEEN(1,32))</f>
        <v>Métiers (au choix)</v>
      </c>
      <c r="AL4" s="55" t="str" cm="1">
        <f t="array" aca="1" ref="AL4" ca="1">INDEX(AM4:CI4,RANDBETWEEN(1,48))</f>
        <v xml:space="preserve">Contrebandier </v>
      </c>
      <c r="AM4" t="s">
        <v>29</v>
      </c>
      <c r="AN4" t="s">
        <v>23</v>
      </c>
      <c r="AO4" t="s">
        <v>30</v>
      </c>
      <c r="AP4" t="s">
        <v>34</v>
      </c>
      <c r="AQ4" t="s">
        <v>286</v>
      </c>
      <c r="AR4" t="s">
        <v>54</v>
      </c>
      <c r="AS4" t="s">
        <v>280</v>
      </c>
      <c r="AT4" t="s">
        <v>59</v>
      </c>
      <c r="AU4" t="s">
        <v>43</v>
      </c>
      <c r="AV4" t="s">
        <v>48</v>
      </c>
      <c r="AW4" t="s">
        <v>49</v>
      </c>
      <c r="AX4" t="s">
        <v>52</v>
      </c>
      <c r="AY4" t="s">
        <v>164</v>
      </c>
      <c r="AZ4" t="s">
        <v>56</v>
      </c>
      <c r="BA4" t="s">
        <v>57</v>
      </c>
      <c r="BB4" t="s">
        <v>46</v>
      </c>
      <c r="BC4" t="s">
        <v>36</v>
      </c>
      <c r="BD4" t="s">
        <v>32</v>
      </c>
      <c r="BE4" t="s">
        <v>288</v>
      </c>
      <c r="BF4" t="s">
        <v>28</v>
      </c>
      <c r="BG4" t="s">
        <v>39</v>
      </c>
      <c r="BH4" t="s">
        <v>285</v>
      </c>
      <c r="BI4" t="s">
        <v>65</v>
      </c>
      <c r="BJ4" t="s">
        <v>67</v>
      </c>
      <c r="BK4" t="s">
        <v>42</v>
      </c>
      <c r="BL4" t="s">
        <v>62</v>
      </c>
      <c r="BM4" t="s">
        <v>24</v>
      </c>
      <c r="BN4" t="s">
        <v>40</v>
      </c>
      <c r="BO4" t="s">
        <v>281</v>
      </c>
      <c r="BP4" t="s">
        <v>289</v>
      </c>
      <c r="BQ4" t="s">
        <v>276</v>
      </c>
      <c r="BR4" t="s">
        <v>26</v>
      </c>
      <c r="BS4" t="s">
        <v>31</v>
      </c>
      <c r="BT4" t="s">
        <v>51</v>
      </c>
      <c r="BU4" t="s">
        <v>279</v>
      </c>
      <c r="BV4" t="s">
        <v>44</v>
      </c>
      <c r="BW4" t="s">
        <v>284</v>
      </c>
      <c r="BX4" t="s">
        <v>53</v>
      </c>
      <c r="BY4" t="s">
        <v>55</v>
      </c>
      <c r="BZ4" t="s">
        <v>61</v>
      </c>
      <c r="CA4" t="s">
        <v>287</v>
      </c>
      <c r="CB4" t="s">
        <v>33</v>
      </c>
      <c r="CC4" t="s">
        <v>60</v>
      </c>
      <c r="CD4" t="s">
        <v>283</v>
      </c>
      <c r="CE4" t="s">
        <v>38</v>
      </c>
      <c r="CF4" t="s">
        <v>69</v>
      </c>
      <c r="CG4" t="s">
        <v>47</v>
      </c>
      <c r="CH4" t="s">
        <v>63</v>
      </c>
      <c r="CI4" t="s">
        <v>247</v>
      </c>
      <c r="CJ4" t="s">
        <v>247</v>
      </c>
      <c r="CK4" t="s">
        <v>247</v>
      </c>
      <c r="CL4" t="s">
        <v>247</v>
      </c>
      <c r="CM4" t="s">
        <v>247</v>
      </c>
      <c r="CN4" t="s">
        <v>247</v>
      </c>
      <c r="CO4" t="s">
        <v>247</v>
      </c>
      <c r="CP4" t="s">
        <v>247</v>
      </c>
      <c r="CQ4" t="s">
        <v>247</v>
      </c>
      <c r="CR4" t="s">
        <v>247</v>
      </c>
      <c r="CS4" t="s">
        <v>247</v>
      </c>
      <c r="CT4" t="s">
        <v>247</v>
      </c>
      <c r="CU4" t="s">
        <v>247</v>
      </c>
      <c r="CV4" t="s">
        <v>247</v>
      </c>
      <c r="CW4" t="s">
        <v>247</v>
      </c>
      <c r="CX4">
        <f ca="1">2.5*(RANDBETWEEN(1,10))+95</f>
        <v>107.5</v>
      </c>
      <c r="CY4">
        <f ca="1">RANDBETWEEN(5,100)+15</f>
        <v>41</v>
      </c>
      <c r="CZ4" t="str" cm="1">
        <f t="array" aca="1" ref="CZ4" ca="1">INDEX(CZ13:CZ22,RANDBETWEEN(1,10))</f>
        <v>Bleu</v>
      </c>
      <c r="DA4" t="str" cm="1">
        <f t="array" aca="1" ref="DA4" ca="1">INDEX(CR13:CR22,RANDBETWEEN(1,10))</f>
        <v>Miel</v>
      </c>
    </row>
    <row r="5" spans="1:116">
      <c r="A5" t="s">
        <v>162</v>
      </c>
      <c r="B5" t="s">
        <v>5</v>
      </c>
      <c r="C5">
        <f>VLOOKUP($C$1,$D$2:$N$6,5,FALSE)</f>
        <v>20</v>
      </c>
      <c r="D5" t="s">
        <v>163</v>
      </c>
      <c r="E5" s="27">
        <v>30</v>
      </c>
      <c r="F5" s="27">
        <v>30</v>
      </c>
      <c r="G5" s="27">
        <v>20</v>
      </c>
      <c r="H5" s="27">
        <v>20</v>
      </c>
      <c r="I5" s="27">
        <v>30</v>
      </c>
      <c r="J5" s="27">
        <v>40</v>
      </c>
      <c r="K5" s="27">
        <v>30</v>
      </c>
      <c r="L5" s="27">
        <v>30</v>
      </c>
      <c r="M5" s="27">
        <v>30</v>
      </c>
      <c r="N5" s="27">
        <v>20</v>
      </c>
      <c r="O5" s="27">
        <v>0</v>
      </c>
      <c r="P5" s="27">
        <v>0</v>
      </c>
      <c r="Q5" s="27">
        <v>2</v>
      </c>
      <c r="R5" s="27">
        <v>5</v>
      </c>
      <c r="S5" s="27">
        <v>0</v>
      </c>
      <c r="T5" s="34" t="s">
        <v>127</v>
      </c>
      <c r="U5" s="35" t="s">
        <v>186</v>
      </c>
      <c r="V5" s="35" t="s">
        <v>296</v>
      </c>
      <c r="W5" s="35" t="s">
        <v>128</v>
      </c>
      <c r="X5" s="35" t="s">
        <v>125</v>
      </c>
      <c r="Y5" s="35" t="s">
        <v>184</v>
      </c>
      <c r="Z5" s="35" t="s">
        <v>142</v>
      </c>
      <c r="AA5" s="35" t="s">
        <v>75</v>
      </c>
      <c r="AB5" s="35" t="s">
        <v>675</v>
      </c>
      <c r="AC5" s="35" t="s">
        <v>679</v>
      </c>
      <c r="AD5" s="35" t="s">
        <v>142</v>
      </c>
      <c r="AE5" s="38" t="s">
        <v>148</v>
      </c>
      <c r="AF5" s="41" t="s">
        <v>156</v>
      </c>
      <c r="AG5" s="40" t="s">
        <v>97</v>
      </c>
      <c r="AH5" s="40" t="s">
        <v>179</v>
      </c>
      <c r="AI5" s="40" t="s">
        <v>182</v>
      </c>
      <c r="AJ5" s="40" t="s">
        <v>183</v>
      </c>
      <c r="AK5" s="51" t="s">
        <v>173</v>
      </c>
      <c r="AL5" s="55" t="str" cm="1">
        <f t="array" aca="1" ref="AL5" ca="1">INDEX(AM5:BU5,RANDBETWEEN(1,35))</f>
        <v xml:space="preserve">Emissaire </v>
      </c>
      <c r="AM5" t="s">
        <v>23</v>
      </c>
      <c r="AN5" t="s">
        <v>30</v>
      </c>
      <c r="AO5" t="s">
        <v>34</v>
      </c>
      <c r="AP5" t="s">
        <v>54</v>
      </c>
      <c r="AQ5" t="s">
        <v>280</v>
      </c>
      <c r="AR5" t="s">
        <v>64</v>
      </c>
      <c r="AS5" t="s">
        <v>59</v>
      </c>
      <c r="AT5" t="s">
        <v>43</v>
      </c>
      <c r="AU5" t="s">
        <v>48</v>
      </c>
      <c r="AV5" t="s">
        <v>66</v>
      </c>
      <c r="AW5" t="s">
        <v>164</v>
      </c>
      <c r="AX5" t="s">
        <v>56</v>
      </c>
      <c r="AY5" t="s">
        <v>35</v>
      </c>
      <c r="AZ5" t="s">
        <v>46</v>
      </c>
      <c r="BA5" t="s">
        <v>36</v>
      </c>
      <c r="BB5" t="s">
        <v>32</v>
      </c>
      <c r="BC5" t="s">
        <v>288</v>
      </c>
      <c r="BD5" t="s">
        <v>28</v>
      </c>
      <c r="BE5" t="s">
        <v>39</v>
      </c>
      <c r="BF5" t="s">
        <v>65</v>
      </c>
      <c r="BG5" t="s">
        <v>67</v>
      </c>
      <c r="BH5" t="s">
        <v>42</v>
      </c>
      <c r="BI5" t="s">
        <v>62</v>
      </c>
      <c r="BJ5" t="s">
        <v>40</v>
      </c>
      <c r="BK5" t="s">
        <v>281</v>
      </c>
      <c r="BL5" t="s">
        <v>289</v>
      </c>
      <c r="BM5" t="s">
        <v>276</v>
      </c>
      <c r="BN5" t="s">
        <v>26</v>
      </c>
      <c r="BO5" t="s">
        <v>51</v>
      </c>
      <c r="BP5" t="s">
        <v>279</v>
      </c>
      <c r="BQ5" t="s">
        <v>37</v>
      </c>
      <c r="BR5" t="s">
        <v>283</v>
      </c>
      <c r="BS5" t="s">
        <v>69</v>
      </c>
      <c r="BT5" t="s">
        <v>290</v>
      </c>
      <c r="BU5" t="s">
        <v>282</v>
      </c>
      <c r="BV5" t="s">
        <v>247</v>
      </c>
      <c r="BW5" t="s">
        <v>247</v>
      </c>
      <c r="BX5" t="s">
        <v>247</v>
      </c>
      <c r="BY5" t="s">
        <v>247</v>
      </c>
      <c r="BZ5" t="s">
        <v>247</v>
      </c>
      <c r="CA5" t="s">
        <v>247</v>
      </c>
      <c r="CB5" t="s">
        <v>247</v>
      </c>
      <c r="CC5" t="s">
        <v>247</v>
      </c>
      <c r="CD5" t="s">
        <v>247</v>
      </c>
      <c r="CE5" t="s">
        <v>247</v>
      </c>
      <c r="CF5" t="s">
        <v>247</v>
      </c>
      <c r="CG5" t="s">
        <v>247</v>
      </c>
      <c r="CH5" t="s">
        <v>247</v>
      </c>
      <c r="CI5" t="s">
        <v>247</v>
      </c>
      <c r="CJ5" t="s">
        <v>247</v>
      </c>
      <c r="CK5" t="s">
        <v>247</v>
      </c>
      <c r="CL5" t="s">
        <v>247</v>
      </c>
      <c r="CM5" t="s">
        <v>247</v>
      </c>
      <c r="CN5" t="s">
        <v>247</v>
      </c>
      <c r="CO5" t="s">
        <v>247</v>
      </c>
      <c r="CP5" t="s">
        <v>247</v>
      </c>
      <c r="CQ5" t="s">
        <v>247</v>
      </c>
      <c r="CR5" t="s">
        <v>247</v>
      </c>
      <c r="CS5" t="s">
        <v>247</v>
      </c>
      <c r="CT5" t="s">
        <v>247</v>
      </c>
      <c r="CU5" t="s">
        <v>247</v>
      </c>
      <c r="CV5" t="s">
        <v>247</v>
      </c>
      <c r="CW5" t="s">
        <v>247</v>
      </c>
      <c r="CX5">
        <f ca="1">2.5*(RANDBETWEEN(1,10))+180</f>
        <v>202.5</v>
      </c>
      <c r="CY5">
        <f ca="1">RANDBETWEEN(10,100)+30</f>
        <v>59</v>
      </c>
      <c r="CZ5" t="str" cm="1">
        <f t="array" aca="1" ref="CZ5" ca="1">INDEX(DA13:DA22,RANDBETWEEN(1,10))</f>
        <v>Saphir</v>
      </c>
      <c r="DA5" t="str" cm="1">
        <f t="array" aca="1" ref="DA5" ca="1">INDEX(CS13:CS22,RANDBETWEEN(1,10))</f>
        <v>Auburn</v>
      </c>
    </row>
    <row r="6" spans="1:116" ht="15.75" thickBot="1">
      <c r="A6" t="s">
        <v>163</v>
      </c>
      <c r="B6" t="s">
        <v>7</v>
      </c>
      <c r="C6">
        <f>VLOOKUP($C$1,$D$2:$N$6,6,FALSE)</f>
        <v>20</v>
      </c>
      <c r="D6" t="s">
        <v>162</v>
      </c>
      <c r="E6" s="1">
        <v>30</v>
      </c>
      <c r="F6" s="1">
        <v>30</v>
      </c>
      <c r="G6" s="1">
        <v>20</v>
      </c>
      <c r="H6" s="1">
        <v>20</v>
      </c>
      <c r="I6" s="1">
        <v>30</v>
      </c>
      <c r="J6" s="1">
        <v>40</v>
      </c>
      <c r="K6" s="1">
        <v>30</v>
      </c>
      <c r="L6" s="1">
        <v>30</v>
      </c>
      <c r="M6" s="1">
        <v>30</v>
      </c>
      <c r="N6" s="1">
        <v>20</v>
      </c>
      <c r="O6" s="1">
        <v>0</v>
      </c>
      <c r="P6" s="1">
        <v>0</v>
      </c>
      <c r="Q6" s="1">
        <v>2</v>
      </c>
      <c r="R6" s="1">
        <v>5</v>
      </c>
      <c r="S6" s="2">
        <v>0</v>
      </c>
      <c r="T6" s="36" t="s">
        <v>127</v>
      </c>
      <c r="U6" s="37" t="s">
        <v>186</v>
      </c>
      <c r="V6" s="37" t="s">
        <v>296</v>
      </c>
      <c r="W6" s="37" t="s">
        <v>128</v>
      </c>
      <c r="X6" s="37" t="s">
        <v>125</v>
      </c>
      <c r="Y6" s="37" t="s">
        <v>184</v>
      </c>
      <c r="Z6" s="37" t="s">
        <v>142</v>
      </c>
      <c r="AA6" s="37" t="s">
        <v>75</v>
      </c>
      <c r="AB6" s="37" t="s">
        <v>675</v>
      </c>
      <c r="AC6" s="37" t="s">
        <v>679</v>
      </c>
      <c r="AD6" s="37" t="s">
        <v>142</v>
      </c>
      <c r="AE6" s="39" t="s">
        <v>148</v>
      </c>
      <c r="AF6" s="42" t="s">
        <v>156</v>
      </c>
      <c r="AG6" s="43" t="s">
        <v>97</v>
      </c>
      <c r="AH6" s="43" t="s">
        <v>179</v>
      </c>
      <c r="AI6" s="43" t="s">
        <v>182</v>
      </c>
      <c r="AJ6" s="43" t="s">
        <v>183</v>
      </c>
      <c r="AK6" s="52" t="s">
        <v>173</v>
      </c>
      <c r="AL6" s="56" t="str" cm="1">
        <f t="array" aca="1" ref="AL6" ca="1">INDEX(AM6:BH6,RANDBETWEEN(1,22))</f>
        <v xml:space="preserve">Chevalier </v>
      </c>
      <c r="AM6" t="s">
        <v>30</v>
      </c>
      <c r="AN6" t="s">
        <v>34</v>
      </c>
      <c r="AO6" t="s">
        <v>64</v>
      </c>
      <c r="AP6" t="s">
        <v>43</v>
      </c>
      <c r="AQ6" t="s">
        <v>48</v>
      </c>
      <c r="AR6" t="s">
        <v>66</v>
      </c>
      <c r="AS6" t="s">
        <v>164</v>
      </c>
      <c r="AT6" t="s">
        <v>46</v>
      </c>
      <c r="AU6" t="s">
        <v>36</v>
      </c>
      <c r="AV6" t="s">
        <v>28</v>
      </c>
      <c r="AW6" t="s">
        <v>39</v>
      </c>
      <c r="AX6" t="s">
        <v>65</v>
      </c>
      <c r="AY6" t="s">
        <v>67</v>
      </c>
      <c r="AZ6" t="s">
        <v>42</v>
      </c>
      <c r="BA6" t="s">
        <v>62</v>
      </c>
      <c r="BB6" t="s">
        <v>51</v>
      </c>
      <c r="BC6" t="s">
        <v>45</v>
      </c>
      <c r="BD6" t="s">
        <v>58</v>
      </c>
      <c r="BE6" t="s">
        <v>37</v>
      </c>
      <c r="BF6" t="s">
        <v>283</v>
      </c>
      <c r="BG6" t="s">
        <v>69</v>
      </c>
      <c r="BH6" t="s">
        <v>290</v>
      </c>
      <c r="BI6" t="s">
        <v>247</v>
      </c>
      <c r="BJ6" t="s">
        <v>247</v>
      </c>
      <c r="BK6" t="s">
        <v>247</v>
      </c>
      <c r="BL6" t="s">
        <v>247</v>
      </c>
      <c r="BM6" t="s">
        <v>247</v>
      </c>
      <c r="BN6" t="s">
        <v>247</v>
      </c>
      <c r="BO6" t="s">
        <v>247</v>
      </c>
      <c r="BP6" t="s">
        <v>247</v>
      </c>
      <c r="BQ6" t="s">
        <v>247</v>
      </c>
      <c r="BR6" t="s">
        <v>247</v>
      </c>
      <c r="BS6" t="s">
        <v>247</v>
      </c>
      <c r="BT6" t="s">
        <v>247</v>
      </c>
      <c r="BU6" t="s">
        <v>247</v>
      </c>
      <c r="BV6" t="s">
        <v>247</v>
      </c>
      <c r="BW6" t="s">
        <v>247</v>
      </c>
      <c r="BX6" t="s">
        <v>247</v>
      </c>
      <c r="BY6" t="s">
        <v>247</v>
      </c>
      <c r="BZ6" t="s">
        <v>247</v>
      </c>
      <c r="CA6" t="s">
        <v>247</v>
      </c>
      <c r="CB6" t="s">
        <v>247</v>
      </c>
      <c r="CC6" t="s">
        <v>247</v>
      </c>
      <c r="CD6" t="s">
        <v>247</v>
      </c>
      <c r="CE6" t="s">
        <v>247</v>
      </c>
      <c r="CF6" t="s">
        <v>247</v>
      </c>
      <c r="CG6" t="s">
        <v>247</v>
      </c>
      <c r="CH6" t="s">
        <v>247</v>
      </c>
      <c r="CI6" t="s">
        <v>247</v>
      </c>
      <c r="CJ6" t="s">
        <v>247</v>
      </c>
      <c r="CK6" t="s">
        <v>247</v>
      </c>
      <c r="CL6" t="s">
        <v>247</v>
      </c>
      <c r="CM6" t="s">
        <v>247</v>
      </c>
      <c r="CN6" t="s">
        <v>247</v>
      </c>
      <c r="CO6" t="s">
        <v>247</v>
      </c>
      <c r="CP6" t="s">
        <v>247</v>
      </c>
      <c r="CQ6" t="s">
        <v>247</v>
      </c>
      <c r="CR6" t="s">
        <v>247</v>
      </c>
      <c r="CS6" t="s">
        <v>247</v>
      </c>
      <c r="CT6" t="s">
        <v>247</v>
      </c>
      <c r="CU6" t="s">
        <v>247</v>
      </c>
      <c r="CV6" t="s">
        <v>247</v>
      </c>
      <c r="CW6" t="s">
        <v>247</v>
      </c>
      <c r="CX6">
        <f ca="1">2.5*(RANDBETWEEN(1,10))+180</f>
        <v>185</v>
      </c>
      <c r="CY6">
        <f ca="1">RANDBETWEEN(10,100)+30</f>
        <v>56</v>
      </c>
      <c r="CZ6" t="str" cm="1">
        <f t="array" aca="1" ref="CZ6" ca="1">INDEX(DB13:DB22,RANDBETWEEN(1,10))</f>
        <v>Violet</v>
      </c>
      <c r="DA6" t="str" cm="1">
        <f t="array" aca="1" ref="DA6" ca="1">INDEX(CT13:CT22,RANDBETWEEN(1,10))</f>
        <v>Brun</v>
      </c>
    </row>
    <row r="7" spans="1:116">
      <c r="A7" t="s">
        <v>2</v>
      </c>
      <c r="B7" t="s">
        <v>8</v>
      </c>
      <c r="C7">
        <f>VLOOKUP($C$1,$D$2:$N$6,7,FALSE)</f>
        <v>20</v>
      </c>
      <c r="AD7" s="33"/>
      <c r="AE7" s="33"/>
      <c r="AF7" s="33"/>
      <c r="AG7" s="32"/>
      <c r="AH7" s="33"/>
      <c r="AI7" s="33"/>
      <c r="AJ7" s="33"/>
      <c r="AK7" s="33"/>
      <c r="AL7" s="33"/>
      <c r="AM7" s="33"/>
    </row>
    <row r="8" spans="1:116" ht="15.75" thickBot="1">
      <c r="B8" t="s">
        <v>9</v>
      </c>
      <c r="C8">
        <f>VLOOKUP($C$1,$D$2:$N$6,8,FALSE)</f>
        <v>20</v>
      </c>
      <c r="D8">
        <f>COLUMN(D7)-3</f>
        <v>1</v>
      </c>
      <c r="E8">
        <f t="shared" ref="E8:BP8" si="0">COLUMN(E7)-3</f>
        <v>2</v>
      </c>
      <c r="F8">
        <f t="shared" si="0"/>
        <v>3</v>
      </c>
      <c r="G8">
        <f t="shared" si="0"/>
        <v>4</v>
      </c>
      <c r="H8">
        <f t="shared" si="0"/>
        <v>5</v>
      </c>
      <c r="I8">
        <f t="shared" si="0"/>
        <v>6</v>
      </c>
      <c r="J8">
        <f t="shared" si="0"/>
        <v>7</v>
      </c>
      <c r="K8">
        <f t="shared" si="0"/>
        <v>8</v>
      </c>
      <c r="L8">
        <f t="shared" si="0"/>
        <v>9</v>
      </c>
      <c r="M8">
        <f t="shared" si="0"/>
        <v>10</v>
      </c>
      <c r="N8">
        <f t="shared" si="0"/>
        <v>11</v>
      </c>
      <c r="O8">
        <f t="shared" si="0"/>
        <v>12</v>
      </c>
      <c r="P8">
        <f t="shared" si="0"/>
        <v>13</v>
      </c>
      <c r="Q8">
        <f t="shared" si="0"/>
        <v>14</v>
      </c>
      <c r="R8">
        <f t="shared" si="0"/>
        <v>15</v>
      </c>
      <c r="S8">
        <f t="shared" si="0"/>
        <v>16</v>
      </c>
      <c r="T8">
        <f t="shared" si="0"/>
        <v>17</v>
      </c>
      <c r="U8">
        <f t="shared" si="0"/>
        <v>18</v>
      </c>
      <c r="V8">
        <f t="shared" si="0"/>
        <v>19</v>
      </c>
      <c r="W8">
        <f t="shared" si="0"/>
        <v>20</v>
      </c>
      <c r="X8">
        <f t="shared" si="0"/>
        <v>21</v>
      </c>
      <c r="Y8">
        <f t="shared" si="0"/>
        <v>22</v>
      </c>
      <c r="Z8">
        <f t="shared" si="0"/>
        <v>23</v>
      </c>
      <c r="AA8">
        <f t="shared" si="0"/>
        <v>24</v>
      </c>
      <c r="AB8">
        <f t="shared" si="0"/>
        <v>25</v>
      </c>
      <c r="AC8">
        <f t="shared" si="0"/>
        <v>26</v>
      </c>
      <c r="AD8">
        <f t="shared" si="0"/>
        <v>27</v>
      </c>
      <c r="AE8">
        <f t="shared" si="0"/>
        <v>28</v>
      </c>
      <c r="AF8">
        <f t="shared" si="0"/>
        <v>29</v>
      </c>
      <c r="AG8">
        <f t="shared" si="0"/>
        <v>30</v>
      </c>
      <c r="AH8">
        <f t="shared" si="0"/>
        <v>31</v>
      </c>
      <c r="AI8">
        <f t="shared" si="0"/>
        <v>32</v>
      </c>
      <c r="AJ8">
        <f t="shared" si="0"/>
        <v>33</v>
      </c>
      <c r="AK8">
        <f t="shared" si="0"/>
        <v>34</v>
      </c>
      <c r="AL8">
        <f t="shared" si="0"/>
        <v>35</v>
      </c>
      <c r="AM8">
        <f t="shared" si="0"/>
        <v>36</v>
      </c>
      <c r="AN8">
        <f t="shared" si="0"/>
        <v>37</v>
      </c>
      <c r="AO8">
        <f t="shared" si="0"/>
        <v>38</v>
      </c>
      <c r="AP8">
        <f t="shared" si="0"/>
        <v>39</v>
      </c>
      <c r="AQ8">
        <f t="shared" si="0"/>
        <v>40</v>
      </c>
      <c r="AR8">
        <f t="shared" si="0"/>
        <v>41</v>
      </c>
      <c r="AS8">
        <f t="shared" si="0"/>
        <v>42</v>
      </c>
      <c r="AT8">
        <f t="shared" si="0"/>
        <v>43</v>
      </c>
      <c r="AU8">
        <f t="shared" si="0"/>
        <v>44</v>
      </c>
      <c r="AV8">
        <f t="shared" si="0"/>
        <v>45</v>
      </c>
      <c r="AW8">
        <f t="shared" si="0"/>
        <v>46</v>
      </c>
      <c r="AX8">
        <f t="shared" si="0"/>
        <v>47</v>
      </c>
      <c r="AY8">
        <f t="shared" si="0"/>
        <v>48</v>
      </c>
      <c r="AZ8">
        <f t="shared" si="0"/>
        <v>49</v>
      </c>
      <c r="BA8">
        <f t="shared" si="0"/>
        <v>50</v>
      </c>
      <c r="BB8">
        <f t="shared" si="0"/>
        <v>51</v>
      </c>
      <c r="BC8">
        <f t="shared" si="0"/>
        <v>52</v>
      </c>
      <c r="BD8">
        <f t="shared" si="0"/>
        <v>53</v>
      </c>
      <c r="BE8">
        <f t="shared" si="0"/>
        <v>54</v>
      </c>
      <c r="BF8">
        <f t="shared" si="0"/>
        <v>55</v>
      </c>
      <c r="BG8">
        <f t="shared" si="0"/>
        <v>56</v>
      </c>
      <c r="BH8">
        <f t="shared" si="0"/>
        <v>57</v>
      </c>
      <c r="BI8">
        <f t="shared" si="0"/>
        <v>58</v>
      </c>
      <c r="BJ8">
        <f t="shared" si="0"/>
        <v>59</v>
      </c>
      <c r="BK8">
        <f t="shared" si="0"/>
        <v>60</v>
      </c>
      <c r="BL8">
        <f t="shared" si="0"/>
        <v>61</v>
      </c>
      <c r="BM8">
        <f t="shared" si="0"/>
        <v>62</v>
      </c>
      <c r="BN8">
        <f t="shared" si="0"/>
        <v>63</v>
      </c>
      <c r="BO8">
        <f t="shared" si="0"/>
        <v>64</v>
      </c>
      <c r="BP8">
        <f t="shared" si="0"/>
        <v>65</v>
      </c>
      <c r="BQ8">
        <f t="shared" ref="BQ8:DL8" si="1">COLUMN(BQ7)-3</f>
        <v>66</v>
      </c>
      <c r="BR8">
        <f t="shared" si="1"/>
        <v>67</v>
      </c>
      <c r="BS8">
        <f t="shared" si="1"/>
        <v>68</v>
      </c>
      <c r="BT8">
        <f t="shared" si="1"/>
        <v>69</v>
      </c>
      <c r="BU8">
        <f t="shared" si="1"/>
        <v>70</v>
      </c>
      <c r="BV8">
        <f t="shared" si="1"/>
        <v>71</v>
      </c>
      <c r="BW8">
        <f t="shared" si="1"/>
        <v>72</v>
      </c>
      <c r="BX8">
        <f t="shared" si="1"/>
        <v>73</v>
      </c>
      <c r="BY8">
        <f t="shared" si="1"/>
        <v>74</v>
      </c>
      <c r="BZ8">
        <f t="shared" si="1"/>
        <v>75</v>
      </c>
      <c r="CA8">
        <f t="shared" si="1"/>
        <v>76</v>
      </c>
      <c r="CB8">
        <f t="shared" si="1"/>
        <v>77</v>
      </c>
      <c r="CC8">
        <f t="shared" si="1"/>
        <v>78</v>
      </c>
      <c r="CD8">
        <f t="shared" si="1"/>
        <v>79</v>
      </c>
      <c r="CE8">
        <f t="shared" si="1"/>
        <v>80</v>
      </c>
      <c r="CF8">
        <f t="shared" si="1"/>
        <v>81</v>
      </c>
      <c r="CG8">
        <f t="shared" si="1"/>
        <v>82</v>
      </c>
      <c r="CH8">
        <f t="shared" si="1"/>
        <v>83</v>
      </c>
      <c r="CI8">
        <f t="shared" si="1"/>
        <v>84</v>
      </c>
      <c r="CJ8">
        <f t="shared" si="1"/>
        <v>85</v>
      </c>
      <c r="CK8">
        <f t="shared" si="1"/>
        <v>86</v>
      </c>
      <c r="CL8">
        <f t="shared" si="1"/>
        <v>87</v>
      </c>
      <c r="CM8">
        <f t="shared" si="1"/>
        <v>88</v>
      </c>
      <c r="CN8">
        <f t="shared" si="1"/>
        <v>89</v>
      </c>
      <c r="CO8">
        <f t="shared" si="1"/>
        <v>90</v>
      </c>
      <c r="CP8">
        <f t="shared" si="1"/>
        <v>91</v>
      </c>
      <c r="CQ8">
        <f t="shared" si="1"/>
        <v>92</v>
      </c>
      <c r="CR8">
        <f t="shared" si="1"/>
        <v>93</v>
      </c>
      <c r="CS8">
        <f t="shared" si="1"/>
        <v>94</v>
      </c>
      <c r="CT8">
        <f t="shared" si="1"/>
        <v>95</v>
      </c>
      <c r="CU8">
        <f t="shared" si="1"/>
        <v>96</v>
      </c>
      <c r="CV8">
        <f t="shared" si="1"/>
        <v>97</v>
      </c>
      <c r="CW8">
        <f t="shared" si="1"/>
        <v>98</v>
      </c>
      <c r="CX8">
        <f t="shared" si="1"/>
        <v>99</v>
      </c>
      <c r="CY8">
        <f t="shared" si="1"/>
        <v>100</v>
      </c>
      <c r="CZ8">
        <f t="shared" si="1"/>
        <v>101</v>
      </c>
      <c r="DA8">
        <f t="shared" si="1"/>
        <v>102</v>
      </c>
      <c r="DB8">
        <f t="shared" si="1"/>
        <v>103</v>
      </c>
      <c r="DC8">
        <f t="shared" si="1"/>
        <v>104</v>
      </c>
      <c r="DD8">
        <f t="shared" si="1"/>
        <v>105</v>
      </c>
      <c r="DE8">
        <f t="shared" si="1"/>
        <v>106</v>
      </c>
      <c r="DF8">
        <f t="shared" si="1"/>
        <v>107</v>
      </c>
      <c r="DG8">
        <f t="shared" si="1"/>
        <v>108</v>
      </c>
      <c r="DH8">
        <f t="shared" si="1"/>
        <v>109</v>
      </c>
      <c r="DI8">
        <f t="shared" si="1"/>
        <v>110</v>
      </c>
      <c r="DJ8">
        <f t="shared" si="1"/>
        <v>111</v>
      </c>
      <c r="DK8">
        <f t="shared" si="1"/>
        <v>112</v>
      </c>
      <c r="DL8">
        <f t="shared" si="1"/>
        <v>113</v>
      </c>
    </row>
    <row r="9" spans="1:116" ht="15.75" thickBot="1">
      <c r="B9" t="s">
        <v>10</v>
      </c>
      <c r="C9">
        <f>VLOOKUP($C$1,$D$2:$N$6,9,FALSE)</f>
        <v>20</v>
      </c>
      <c r="AG9"/>
      <c r="AL9" s="33"/>
      <c r="AM9" s="33"/>
      <c r="AV9" s="96"/>
      <c r="AW9" s="97"/>
      <c r="AX9" s="97"/>
      <c r="AY9" s="97"/>
      <c r="AZ9" s="97"/>
      <c r="BA9" s="97"/>
      <c r="BB9" s="97"/>
      <c r="BC9" s="97"/>
      <c r="BD9" s="97"/>
      <c r="BE9" s="98"/>
    </row>
    <row r="10" spans="1:116" ht="15.75" thickBot="1">
      <c r="B10" t="s">
        <v>11</v>
      </c>
      <c r="C10">
        <f>VLOOKUP($C$1,$D$2:$N$6,10,FALSE)</f>
        <v>20</v>
      </c>
      <c r="AG10"/>
      <c r="AL10" s="33"/>
      <c r="AM10" s="33"/>
    </row>
    <row r="11" spans="1:116" ht="19.5" thickBot="1">
      <c r="B11" t="s">
        <v>12</v>
      </c>
      <c r="C11">
        <f>VLOOKUP($C$1,$D$2:$N$6,11,FALSE)</f>
        <v>20</v>
      </c>
      <c r="T11" s="29" t="s">
        <v>76</v>
      </c>
      <c r="U11" s="30" t="s">
        <v>129</v>
      </c>
      <c r="V11" s="27"/>
      <c r="W11" s="60" t="s">
        <v>77</v>
      </c>
      <c r="X11" s="59" t="s">
        <v>129</v>
      </c>
      <c r="Y11" s="27"/>
      <c r="Z11" s="388" t="s">
        <v>124</v>
      </c>
      <c r="AA11" s="443"/>
      <c r="AC11" s="33"/>
      <c r="AD11" s="33"/>
      <c r="AE11" s="33"/>
      <c r="AF11" s="33"/>
      <c r="AG11" s="33"/>
      <c r="AH11" s="395" t="s">
        <v>518</v>
      </c>
      <c r="AI11" s="395"/>
      <c r="AJ11" s="33"/>
      <c r="AK11" s="33"/>
      <c r="AL11" s="33"/>
      <c r="AM11" s="33"/>
      <c r="AQ11" s="182" t="s">
        <v>294</v>
      </c>
      <c r="AR11" s="57" t="s">
        <v>295</v>
      </c>
      <c r="AS11" s="183" t="s">
        <v>185</v>
      </c>
      <c r="AT11" s="184" t="s">
        <v>195</v>
      </c>
      <c r="AU11" s="184" t="s">
        <v>414</v>
      </c>
      <c r="AV11" s="184" t="s">
        <v>3</v>
      </c>
      <c r="AW11" s="184" t="s">
        <v>4</v>
      </c>
      <c r="AX11" s="184" t="s">
        <v>6</v>
      </c>
      <c r="AY11" s="184" t="s">
        <v>5</v>
      </c>
      <c r="AZ11" s="184" t="s">
        <v>7</v>
      </c>
      <c r="BA11" s="184" t="s">
        <v>8</v>
      </c>
      <c r="BB11" s="184" t="s">
        <v>9</v>
      </c>
      <c r="BC11" s="184" t="s">
        <v>10</v>
      </c>
      <c r="BD11" s="184" t="s">
        <v>11</v>
      </c>
      <c r="BE11" s="184" t="s">
        <v>12</v>
      </c>
      <c r="BF11" s="184" t="s">
        <v>196</v>
      </c>
      <c r="BG11" s="184" t="s">
        <v>197</v>
      </c>
      <c r="BH11" s="184" t="s">
        <v>198</v>
      </c>
      <c r="BI11" s="184" t="s">
        <v>199</v>
      </c>
      <c r="BJ11" s="184" t="s">
        <v>200</v>
      </c>
      <c r="BK11" s="184" t="s">
        <v>201</v>
      </c>
      <c r="BL11" s="184" t="s">
        <v>202</v>
      </c>
      <c r="BM11" s="184" t="s">
        <v>203</v>
      </c>
      <c r="BN11" s="184" t="s">
        <v>204</v>
      </c>
      <c r="BO11" s="184" t="s">
        <v>205</v>
      </c>
      <c r="BP11" s="184" t="s">
        <v>206</v>
      </c>
      <c r="BQ11" s="184" t="s">
        <v>207</v>
      </c>
      <c r="BR11" s="185" t="s">
        <v>208</v>
      </c>
      <c r="BU11" s="266" t="s">
        <v>524</v>
      </c>
      <c r="BV11" s="267" t="s">
        <v>525</v>
      </c>
      <c r="BW11" s="267" t="s">
        <v>526</v>
      </c>
      <c r="BX11" s="267" t="s">
        <v>427</v>
      </c>
      <c r="BY11" s="267" t="s">
        <v>527</v>
      </c>
      <c r="BZ11" s="267" t="s">
        <v>528</v>
      </c>
      <c r="CA11" s="267" t="s">
        <v>529</v>
      </c>
      <c r="CB11" s="456" t="s">
        <v>603</v>
      </c>
      <c r="CC11" s="457"/>
      <c r="CD11" s="457"/>
      <c r="CE11" s="457"/>
      <c r="CF11" s="268" t="s">
        <v>636</v>
      </c>
      <c r="CG11" s="269" t="s">
        <v>703</v>
      </c>
      <c r="CH11" s="270"/>
      <c r="CI11" s="271" t="s">
        <v>129</v>
      </c>
      <c r="CP11" s="453" t="s">
        <v>451</v>
      </c>
      <c r="CQ11" s="454"/>
      <c r="CR11" s="454"/>
      <c r="CS11" s="454"/>
      <c r="CT11" s="455"/>
      <c r="CU11" s="3"/>
      <c r="CV11" s="3"/>
      <c r="CW11" s="3"/>
      <c r="CX11" s="453" t="s">
        <v>451</v>
      </c>
      <c r="CY11" s="454"/>
      <c r="CZ11" s="454"/>
      <c r="DA11" s="454"/>
      <c r="DB11" s="455"/>
    </row>
    <row r="12" spans="1:116" ht="18.75" thickBot="1">
      <c r="C12">
        <f>VLOOKUP($C$1,$D$2:$R$6,12,FALSE)</f>
        <v>2</v>
      </c>
      <c r="T12" s="11" t="s">
        <v>71</v>
      </c>
      <c r="U12" s="12" t="s">
        <v>9</v>
      </c>
      <c r="V12" s="4"/>
      <c r="W12" s="64" t="s">
        <v>338</v>
      </c>
      <c r="X12" s="65" t="s">
        <v>4</v>
      </c>
      <c r="Z12" s="13" t="s">
        <v>78</v>
      </c>
      <c r="AA12" s="14" t="s">
        <v>676</v>
      </c>
      <c r="AC12" s="61"/>
      <c r="AD12" s="61"/>
      <c r="AE12" s="61"/>
      <c r="AF12" s="61"/>
      <c r="AG12" s="33"/>
      <c r="AH12" s="115" t="s">
        <v>274</v>
      </c>
      <c r="AI12" s="116" t="s">
        <v>511</v>
      </c>
      <c r="AJ12" s="33"/>
      <c r="AK12" s="61"/>
      <c r="AL12" s="61"/>
      <c r="AM12" s="33"/>
      <c r="AQ12" s="104" t="s">
        <v>29</v>
      </c>
      <c r="AR12" s="25" t="s">
        <v>270</v>
      </c>
      <c r="AS12" s="190" t="s">
        <v>218</v>
      </c>
      <c r="AT12" s="191" t="s">
        <v>403</v>
      </c>
      <c r="AU12" s="191">
        <v>1</v>
      </c>
      <c r="AV12" s="192">
        <v>3</v>
      </c>
      <c r="AW12" s="192">
        <v>1</v>
      </c>
      <c r="AX12" s="192">
        <v>0</v>
      </c>
      <c r="AY12" s="192">
        <v>0</v>
      </c>
      <c r="AZ12" s="193">
        <v>2</v>
      </c>
      <c r="BA12" s="193">
        <v>4</v>
      </c>
      <c r="BB12" s="193">
        <v>0</v>
      </c>
      <c r="BC12" s="192">
        <v>1</v>
      </c>
      <c r="BD12" s="192">
        <v>0</v>
      </c>
      <c r="BE12" s="192">
        <v>1</v>
      </c>
      <c r="BF12" s="191" t="s">
        <v>303</v>
      </c>
      <c r="BG12" s="191" t="s">
        <v>301</v>
      </c>
      <c r="BH12" s="191" t="s">
        <v>302</v>
      </c>
      <c r="BI12" s="191" t="s">
        <v>105</v>
      </c>
      <c r="BJ12" s="191" t="s">
        <v>761</v>
      </c>
      <c r="BK12" s="191" t="s">
        <v>135</v>
      </c>
      <c r="BL12" s="191" t="s">
        <v>132</v>
      </c>
      <c r="BM12" s="191" t="s">
        <v>145</v>
      </c>
      <c r="BN12" s="191" t="s">
        <v>133</v>
      </c>
      <c r="BO12" s="191" t="s">
        <v>126</v>
      </c>
      <c r="BP12" s="191" t="s">
        <v>766</v>
      </c>
      <c r="BQ12" s="191" t="s">
        <v>762</v>
      </c>
      <c r="BR12" s="194" t="s">
        <v>673</v>
      </c>
      <c r="BU12" s="257" t="s">
        <v>14</v>
      </c>
      <c r="BV12" s="272" t="s">
        <v>666</v>
      </c>
      <c r="BW12" s="272" t="s">
        <v>520</v>
      </c>
      <c r="BX12" s="272">
        <v>1</v>
      </c>
      <c r="BY12" s="272" t="s">
        <v>521</v>
      </c>
      <c r="BZ12" s="272" t="s">
        <v>522</v>
      </c>
      <c r="CA12" s="272" t="s">
        <v>523</v>
      </c>
      <c r="CB12" s="272" t="s">
        <v>247</v>
      </c>
      <c r="CC12" s="272"/>
      <c r="CD12" s="272"/>
      <c r="CE12" s="273"/>
      <c r="CF12" s="274">
        <v>4</v>
      </c>
      <c r="CG12" s="273" t="s">
        <v>3</v>
      </c>
      <c r="CH12" s="275" t="str">
        <f>CONCATENATE(CB12,CC12,CD12,CE12,)</f>
        <v xml:space="preserve"> </v>
      </c>
      <c r="CI12" s="228" t="str">
        <f>CONCATENATE("Mêlée (",BU12,")")</f>
        <v>Mêlée (Base)</v>
      </c>
      <c r="CP12" s="177" t="s">
        <v>0</v>
      </c>
      <c r="CQ12" s="178" t="s">
        <v>1</v>
      </c>
      <c r="CR12" s="178" t="s">
        <v>445</v>
      </c>
      <c r="CS12" s="178" t="s">
        <v>471</v>
      </c>
      <c r="CT12" s="179" t="s">
        <v>472</v>
      </c>
      <c r="CU12" s="3"/>
      <c r="CV12" s="3"/>
      <c r="CW12" s="3"/>
      <c r="CX12" s="177" t="s">
        <v>0</v>
      </c>
      <c r="CY12" s="178" t="s">
        <v>1</v>
      </c>
      <c r="CZ12" s="178" t="s">
        <v>445</v>
      </c>
      <c r="DA12" s="178" t="s">
        <v>471</v>
      </c>
      <c r="DB12" s="179" t="s">
        <v>472</v>
      </c>
    </row>
    <row r="13" spans="1:116" ht="18">
      <c r="C13">
        <f>VLOOKUP($C$1,$D$2:$R$6,13,FALSE)</f>
        <v>1</v>
      </c>
      <c r="T13" s="6" t="s">
        <v>130</v>
      </c>
      <c r="U13" s="7" t="s">
        <v>7</v>
      </c>
      <c r="W13" s="64" t="s">
        <v>337</v>
      </c>
      <c r="X13" s="65" t="s">
        <v>4</v>
      </c>
      <c r="Y13" s="4"/>
      <c r="Z13" s="6" t="s">
        <v>79</v>
      </c>
      <c r="AA13" s="7" t="s">
        <v>165</v>
      </c>
      <c r="AC13" s="33"/>
      <c r="AD13" s="33"/>
      <c r="AE13" s="33"/>
      <c r="AF13" s="33"/>
      <c r="AG13" s="33"/>
      <c r="AH13" s="117" t="s">
        <v>270</v>
      </c>
      <c r="AI13" s="7" t="s">
        <v>512</v>
      </c>
      <c r="AJ13" s="33"/>
      <c r="AK13" s="33"/>
      <c r="AL13" s="33"/>
      <c r="AM13" s="33"/>
      <c r="AQ13" s="6" t="s">
        <v>30</v>
      </c>
      <c r="AR13" s="5" t="s">
        <v>270</v>
      </c>
      <c r="AS13" s="186" t="s">
        <v>30</v>
      </c>
      <c r="AT13" s="187" t="s">
        <v>403</v>
      </c>
      <c r="AU13" s="187">
        <v>2</v>
      </c>
      <c r="AV13" s="188">
        <v>0</v>
      </c>
      <c r="AW13" s="188">
        <v>0</v>
      </c>
      <c r="AX13" s="188">
        <v>1</v>
      </c>
      <c r="AY13" s="188">
        <v>1</v>
      </c>
      <c r="AZ13" s="188">
        <v>0</v>
      </c>
      <c r="BA13" s="188">
        <v>0</v>
      </c>
      <c r="BB13" s="188">
        <v>1</v>
      </c>
      <c r="BC13" s="188">
        <v>4</v>
      </c>
      <c r="BD13" s="188">
        <v>3</v>
      </c>
      <c r="BE13" s="188">
        <v>2</v>
      </c>
      <c r="BF13" s="187" t="s">
        <v>315</v>
      </c>
      <c r="BG13" s="187" t="s">
        <v>316</v>
      </c>
      <c r="BH13" s="187" t="s">
        <v>363</v>
      </c>
      <c r="BI13" s="187" t="s">
        <v>370</v>
      </c>
      <c r="BJ13" s="187" t="s">
        <v>130</v>
      </c>
      <c r="BK13" s="187" t="s">
        <v>127</v>
      </c>
      <c r="BL13" s="187" t="s">
        <v>145</v>
      </c>
      <c r="BM13" s="187" t="s">
        <v>138</v>
      </c>
      <c r="BN13" s="187" t="s">
        <v>211</v>
      </c>
      <c r="BO13" s="187" t="s">
        <v>296</v>
      </c>
      <c r="BP13" s="187" t="s">
        <v>314</v>
      </c>
      <c r="BQ13" s="187" t="s">
        <v>317</v>
      </c>
      <c r="BR13" s="195" t="s">
        <v>829</v>
      </c>
      <c r="BU13" s="261" t="s">
        <v>14</v>
      </c>
      <c r="BV13" s="259" t="s">
        <v>665</v>
      </c>
      <c r="BW13" s="259" t="s">
        <v>538</v>
      </c>
      <c r="BX13" s="259" t="s">
        <v>538</v>
      </c>
      <c r="BY13" s="259" t="s">
        <v>538</v>
      </c>
      <c r="BZ13" s="259" t="s">
        <v>538</v>
      </c>
      <c r="CA13" s="259" t="s">
        <v>549</v>
      </c>
      <c r="CB13" s="259" t="s">
        <v>554</v>
      </c>
      <c r="CC13" s="259"/>
      <c r="CD13" s="259"/>
      <c r="CE13" s="260"/>
      <c r="CF13" s="275">
        <v>1</v>
      </c>
      <c r="CG13" s="260" t="s">
        <v>3</v>
      </c>
      <c r="CH13" s="275" t="str">
        <f t="shared" ref="CH13:CH67" si="2">CONCATENATE(CB13,CC13,CD13,CE13,)</f>
        <v>Inoffensif</v>
      </c>
      <c r="CI13" s="228" t="str">
        <f t="shared" ref="CI13:CI38" si="3">CONCATENATE("Mêlée (",BU13,")")</f>
        <v>Mêlée (Base)</v>
      </c>
      <c r="CP13" s="174" t="s">
        <v>452</v>
      </c>
      <c r="CQ13" s="175" t="s">
        <v>459</v>
      </c>
      <c r="CR13" s="175" t="s">
        <v>434</v>
      </c>
      <c r="CS13" s="175" t="s">
        <v>469</v>
      </c>
      <c r="CT13" s="176" t="s">
        <v>491</v>
      </c>
      <c r="CU13" s="3"/>
      <c r="CV13" s="3"/>
      <c r="CW13" s="3"/>
      <c r="CX13" s="174" t="s">
        <v>434</v>
      </c>
      <c r="CY13" s="175" t="s">
        <v>439</v>
      </c>
      <c r="CZ13" s="175" t="s">
        <v>433</v>
      </c>
      <c r="DA13" s="180" t="s">
        <v>476</v>
      </c>
      <c r="DB13" s="181" t="s">
        <v>446</v>
      </c>
    </row>
    <row r="14" spans="1:116" ht="18">
      <c r="C14">
        <f>VLOOKUP($C$1,$D$2:$R$6,14,FALSE)</f>
        <v>3</v>
      </c>
      <c r="T14" s="6" t="s">
        <v>127</v>
      </c>
      <c r="U14" s="7" t="s">
        <v>11</v>
      </c>
      <c r="W14" s="62" t="s">
        <v>340</v>
      </c>
      <c r="X14" s="65" t="s">
        <v>4</v>
      </c>
      <c r="Z14" s="6" t="s">
        <v>80</v>
      </c>
      <c r="AA14" s="7" t="s">
        <v>103</v>
      </c>
      <c r="AC14" s="33"/>
      <c r="AD14" s="33"/>
      <c r="AE14" s="33"/>
      <c r="AF14" s="33"/>
      <c r="AG14" s="33"/>
      <c r="AH14" s="117" t="s">
        <v>271</v>
      </c>
      <c r="AI14" s="7" t="s">
        <v>513</v>
      </c>
      <c r="AJ14" s="33"/>
      <c r="AK14" s="33"/>
      <c r="AL14" s="33"/>
      <c r="AM14" s="33"/>
      <c r="AQ14" s="6" t="s">
        <v>280</v>
      </c>
      <c r="AR14" s="5" t="s">
        <v>270</v>
      </c>
      <c r="AS14" s="186" t="s">
        <v>223</v>
      </c>
      <c r="AT14" s="187" t="s">
        <v>404</v>
      </c>
      <c r="AU14" s="187">
        <v>1</v>
      </c>
      <c r="AV14" s="188">
        <v>0</v>
      </c>
      <c r="AW14" s="188">
        <v>0</v>
      </c>
      <c r="AX14" s="188">
        <v>0</v>
      </c>
      <c r="AY14" s="188">
        <v>0</v>
      </c>
      <c r="AZ14" s="189">
        <v>1</v>
      </c>
      <c r="BA14" s="189">
        <v>2</v>
      </c>
      <c r="BB14" s="189">
        <v>3</v>
      </c>
      <c r="BC14" s="188">
        <v>1</v>
      </c>
      <c r="BD14" s="188">
        <v>4</v>
      </c>
      <c r="BE14" s="188">
        <v>1</v>
      </c>
      <c r="BF14" s="187" t="s">
        <v>330</v>
      </c>
      <c r="BG14" s="187" t="s">
        <v>371</v>
      </c>
      <c r="BH14" s="187" t="s">
        <v>880</v>
      </c>
      <c r="BI14" s="187" t="s">
        <v>114</v>
      </c>
      <c r="BJ14" s="187" t="s">
        <v>132</v>
      </c>
      <c r="BK14" s="187" t="s">
        <v>72</v>
      </c>
      <c r="BL14" s="187" t="s">
        <v>145</v>
      </c>
      <c r="BM14" s="187" t="s">
        <v>134</v>
      </c>
      <c r="BN14" s="187" t="s">
        <v>138</v>
      </c>
      <c r="BO14" s="187" t="s">
        <v>140</v>
      </c>
      <c r="BP14" s="187" t="s">
        <v>133</v>
      </c>
      <c r="BQ14" s="187" t="s">
        <v>126</v>
      </c>
      <c r="BR14" s="195" t="s">
        <v>819</v>
      </c>
      <c r="BU14" s="261" t="s">
        <v>14</v>
      </c>
      <c r="BV14" s="259" t="s">
        <v>530</v>
      </c>
      <c r="BW14" s="259" t="s">
        <v>539</v>
      </c>
      <c r="BX14" s="259">
        <v>0</v>
      </c>
      <c r="BY14" s="259" t="s">
        <v>521</v>
      </c>
      <c r="BZ14" s="259" t="s">
        <v>545</v>
      </c>
      <c r="CA14" s="259" t="s">
        <v>550</v>
      </c>
      <c r="CB14" s="259" t="s">
        <v>247</v>
      </c>
      <c r="CC14" s="259"/>
      <c r="CD14" s="259"/>
      <c r="CE14" s="260"/>
      <c r="CF14" s="275">
        <v>2</v>
      </c>
      <c r="CG14" s="260" t="s">
        <v>3</v>
      </c>
      <c r="CH14" s="275" t="str">
        <f t="shared" si="2"/>
        <v xml:space="preserve"> </v>
      </c>
      <c r="CI14" s="228" t="str">
        <f t="shared" si="3"/>
        <v>Mêlée (Base)</v>
      </c>
      <c r="CP14" s="164" t="s">
        <v>453</v>
      </c>
      <c r="CQ14" s="165" t="s">
        <v>458</v>
      </c>
      <c r="CR14" s="165" t="s">
        <v>486</v>
      </c>
      <c r="CS14" s="165" t="s">
        <v>459</v>
      </c>
      <c r="CT14" s="166" t="s">
        <v>492</v>
      </c>
      <c r="CU14" s="3"/>
      <c r="CV14" s="3"/>
      <c r="CW14" s="3"/>
      <c r="CX14" s="164" t="s">
        <v>430</v>
      </c>
      <c r="CY14" s="165" t="s">
        <v>440</v>
      </c>
      <c r="CZ14" s="165" t="s">
        <v>434</v>
      </c>
      <c r="DA14" s="167" t="s">
        <v>477</v>
      </c>
      <c r="DB14" s="168" t="s">
        <v>473</v>
      </c>
    </row>
    <row r="15" spans="1:116" ht="18">
      <c r="C15">
        <f>VLOOKUP($C$1,$D$2:$R$6,15,FALSE)</f>
        <v>4</v>
      </c>
      <c r="T15" s="6" t="s">
        <v>131</v>
      </c>
      <c r="U15" s="7" t="s">
        <v>10</v>
      </c>
      <c r="W15" s="6" t="s">
        <v>718</v>
      </c>
      <c r="X15" s="7" t="s">
        <v>4</v>
      </c>
      <c r="Z15" s="6" t="s">
        <v>81</v>
      </c>
      <c r="AA15" s="7" t="s">
        <v>166</v>
      </c>
      <c r="AC15" s="33"/>
      <c r="AD15" s="33"/>
      <c r="AE15" s="33"/>
      <c r="AF15" s="33"/>
      <c r="AG15" s="33"/>
      <c r="AH15" s="118" t="s">
        <v>278</v>
      </c>
      <c r="AI15" s="7" t="s">
        <v>514</v>
      </c>
      <c r="AJ15" s="33"/>
      <c r="AK15" s="33"/>
      <c r="AL15" s="33"/>
      <c r="AM15" s="33"/>
      <c r="AQ15" s="6" t="s">
        <v>32</v>
      </c>
      <c r="AR15" s="5" t="s">
        <v>270</v>
      </c>
      <c r="AS15" s="186" t="s">
        <v>220</v>
      </c>
      <c r="AT15" s="187" t="s">
        <v>404</v>
      </c>
      <c r="AU15" s="187">
        <v>1</v>
      </c>
      <c r="AV15" s="188">
        <v>0</v>
      </c>
      <c r="AW15" s="188">
        <v>0</v>
      </c>
      <c r="AX15" s="188">
        <v>0</v>
      </c>
      <c r="AY15" s="188">
        <v>0</v>
      </c>
      <c r="AZ15" s="188">
        <v>1</v>
      </c>
      <c r="BA15" s="188">
        <v>1</v>
      </c>
      <c r="BB15" s="188">
        <v>3</v>
      </c>
      <c r="BC15" s="188">
        <v>1</v>
      </c>
      <c r="BD15" s="188">
        <v>4</v>
      </c>
      <c r="BE15" s="188">
        <v>2</v>
      </c>
      <c r="BF15" s="187" t="s">
        <v>330</v>
      </c>
      <c r="BG15" s="187" t="s">
        <v>371</v>
      </c>
      <c r="BH15" s="187" t="s">
        <v>105</v>
      </c>
      <c r="BI15" s="187" t="s">
        <v>358</v>
      </c>
      <c r="BJ15" s="187" t="s">
        <v>132</v>
      </c>
      <c r="BK15" s="187" t="s">
        <v>72</v>
      </c>
      <c r="BL15" s="187" t="s">
        <v>127</v>
      </c>
      <c r="BM15" s="187" t="s">
        <v>133</v>
      </c>
      <c r="BN15" s="187" t="s">
        <v>74</v>
      </c>
      <c r="BO15" s="187" t="s">
        <v>75</v>
      </c>
      <c r="BP15" s="187" t="s">
        <v>314</v>
      </c>
      <c r="BQ15" s="187" t="s">
        <v>149</v>
      </c>
      <c r="BR15" s="195" t="s">
        <v>768</v>
      </c>
      <c r="BU15" s="261" t="s">
        <v>14</v>
      </c>
      <c r="BV15" s="259" t="s">
        <v>531</v>
      </c>
      <c r="BW15" s="259" t="s">
        <v>540</v>
      </c>
      <c r="BX15" s="259">
        <v>0</v>
      </c>
      <c r="BY15" s="259" t="s">
        <v>521</v>
      </c>
      <c r="BZ15" s="259" t="s">
        <v>545</v>
      </c>
      <c r="CA15" s="259" t="s">
        <v>549</v>
      </c>
      <c r="CB15" s="259" t="s">
        <v>554</v>
      </c>
      <c r="CC15" s="259"/>
      <c r="CD15" s="259"/>
      <c r="CE15" s="260"/>
      <c r="CF15" s="275">
        <v>1</v>
      </c>
      <c r="CG15" s="260" t="s">
        <v>3</v>
      </c>
      <c r="CH15" s="275" t="str">
        <f t="shared" si="2"/>
        <v>Inoffensif</v>
      </c>
      <c r="CI15" s="228" t="str">
        <f t="shared" si="3"/>
        <v>Mêlée (Base)</v>
      </c>
      <c r="CP15" s="164" t="s">
        <v>485</v>
      </c>
      <c r="CQ15" s="165" t="s">
        <v>460</v>
      </c>
      <c r="CR15" s="165" t="s">
        <v>463</v>
      </c>
      <c r="CS15" s="165" t="s">
        <v>487</v>
      </c>
      <c r="CT15" s="166" t="s">
        <v>493</v>
      </c>
      <c r="CU15" s="3"/>
      <c r="CV15" s="3"/>
      <c r="CW15" s="3"/>
      <c r="CX15" s="164" t="s">
        <v>431</v>
      </c>
      <c r="CY15" s="165" t="s">
        <v>441</v>
      </c>
      <c r="CZ15" s="165" t="s">
        <v>431</v>
      </c>
      <c r="DA15" s="167" t="s">
        <v>478</v>
      </c>
      <c r="DB15" s="168" t="s">
        <v>447</v>
      </c>
    </row>
    <row r="16" spans="1:116" ht="18">
      <c r="C16">
        <f>VLOOKUP($C$1,$D$2:$AL$6,16,FALSE)</f>
        <v>3</v>
      </c>
      <c r="T16" s="6" t="s">
        <v>132</v>
      </c>
      <c r="U16" s="7" t="s">
        <v>12</v>
      </c>
      <c r="W16" s="6" t="s">
        <v>726</v>
      </c>
      <c r="X16" s="7" t="s">
        <v>4</v>
      </c>
      <c r="Z16" s="6" t="s">
        <v>82</v>
      </c>
      <c r="AA16" s="7" t="s">
        <v>167</v>
      </c>
      <c r="AC16" s="33"/>
      <c r="AD16" s="33"/>
      <c r="AE16" s="33"/>
      <c r="AF16" s="33"/>
      <c r="AG16" s="33"/>
      <c r="AH16" s="118" t="s">
        <v>273</v>
      </c>
      <c r="AI16" s="7" t="s">
        <v>515</v>
      </c>
      <c r="AJ16" s="33"/>
      <c r="AK16" s="33"/>
      <c r="AL16" s="33"/>
      <c r="AM16" s="33"/>
      <c r="AQ16" s="6" t="s">
        <v>289</v>
      </c>
      <c r="AR16" s="5" t="s">
        <v>270</v>
      </c>
      <c r="AS16" s="186" t="s">
        <v>221</v>
      </c>
      <c r="AT16" s="187" t="s">
        <v>404</v>
      </c>
      <c r="AU16" s="187">
        <v>2</v>
      </c>
      <c r="AV16" s="188">
        <v>4</v>
      </c>
      <c r="AW16" s="188">
        <v>0</v>
      </c>
      <c r="AX16" s="188">
        <v>0</v>
      </c>
      <c r="AY16" s="188">
        <v>0</v>
      </c>
      <c r="AZ16" s="189">
        <v>1</v>
      </c>
      <c r="BA16" s="189">
        <v>3</v>
      </c>
      <c r="BB16" s="189">
        <v>0</v>
      </c>
      <c r="BC16" s="188">
        <v>2</v>
      </c>
      <c r="BD16" s="188">
        <v>1</v>
      </c>
      <c r="BE16" s="188">
        <v>1</v>
      </c>
      <c r="BF16" s="187" t="s">
        <v>303</v>
      </c>
      <c r="BG16" s="187" t="s">
        <v>365</v>
      </c>
      <c r="BH16" s="187" t="s">
        <v>105</v>
      </c>
      <c r="BI16" s="187" t="s">
        <v>868</v>
      </c>
      <c r="BJ16" s="187" t="s">
        <v>506</v>
      </c>
      <c r="BK16" s="187" t="s">
        <v>135</v>
      </c>
      <c r="BL16" s="187" t="s">
        <v>132</v>
      </c>
      <c r="BM16" s="187" t="s">
        <v>145</v>
      </c>
      <c r="BN16" s="187" t="s">
        <v>134</v>
      </c>
      <c r="BO16" s="187" t="s">
        <v>140</v>
      </c>
      <c r="BP16" s="187" t="s">
        <v>133</v>
      </c>
      <c r="BQ16" s="187" t="s">
        <v>126</v>
      </c>
      <c r="BR16" s="195" t="s">
        <v>769</v>
      </c>
      <c r="BU16" s="261" t="s">
        <v>14</v>
      </c>
      <c r="BV16" s="259" t="s">
        <v>532</v>
      </c>
      <c r="BW16" s="259">
        <v>44610</v>
      </c>
      <c r="BX16" s="259">
        <v>0</v>
      </c>
      <c r="BY16" s="259" t="s">
        <v>521</v>
      </c>
      <c r="BZ16" s="259" t="s">
        <v>546</v>
      </c>
      <c r="CA16" s="259" t="s">
        <v>549</v>
      </c>
      <c r="CB16" s="259" t="s">
        <v>734</v>
      </c>
      <c r="CC16" s="259" t="s">
        <v>743</v>
      </c>
      <c r="CD16" s="259" t="s">
        <v>712</v>
      </c>
      <c r="CE16" s="260"/>
      <c r="CF16" s="275">
        <v>1</v>
      </c>
      <c r="CG16" s="260" t="s">
        <v>3</v>
      </c>
      <c r="CH16" s="275" t="str">
        <f t="shared" si="2"/>
        <v>Bouclier 1, Défensif,  Inoffensif</v>
      </c>
      <c r="CI16" s="228" t="str">
        <f t="shared" si="3"/>
        <v>Mêlée (Base)</v>
      </c>
      <c r="CP16" s="164" t="s">
        <v>454</v>
      </c>
      <c r="CQ16" s="165" t="s">
        <v>444</v>
      </c>
      <c r="CR16" s="165" t="s">
        <v>464</v>
      </c>
      <c r="CS16" s="165" t="s">
        <v>488</v>
      </c>
      <c r="CT16" s="166" t="s">
        <v>494</v>
      </c>
      <c r="CU16" s="3"/>
      <c r="CV16" s="3"/>
      <c r="CW16" s="3"/>
      <c r="CX16" s="164" t="s">
        <v>432</v>
      </c>
      <c r="CY16" s="165" t="s">
        <v>432</v>
      </c>
      <c r="CZ16" s="165" t="s">
        <v>432</v>
      </c>
      <c r="DA16" s="167" t="s">
        <v>479</v>
      </c>
      <c r="DB16" s="168" t="s">
        <v>448</v>
      </c>
    </row>
    <row r="17" spans="3:106" ht="18">
      <c r="C17" t="str">
        <f>VLOOKUP($C$1,$D$2:$AL$6,17,FALSE)</f>
        <v>Guérison des animaux</v>
      </c>
      <c r="T17" s="6" t="s">
        <v>125</v>
      </c>
      <c r="U17" s="7" t="s">
        <v>12</v>
      </c>
      <c r="W17" s="6" t="s">
        <v>339</v>
      </c>
      <c r="X17" s="7" t="s">
        <v>4</v>
      </c>
      <c r="Z17" s="6" t="s">
        <v>83</v>
      </c>
      <c r="AA17" s="7" t="s">
        <v>193</v>
      </c>
      <c r="AC17" s="33"/>
      <c r="AD17" s="33"/>
      <c r="AE17" s="33"/>
      <c r="AF17" s="33"/>
      <c r="AG17" s="33"/>
      <c r="AH17" s="119" t="s">
        <v>275</v>
      </c>
      <c r="AI17" s="7" t="s">
        <v>516</v>
      </c>
      <c r="AJ17" s="33"/>
      <c r="AK17" s="33"/>
      <c r="AL17" s="33"/>
      <c r="AM17" s="33"/>
      <c r="AQ17" s="6" t="s">
        <v>31</v>
      </c>
      <c r="AR17" s="5" t="s">
        <v>270</v>
      </c>
      <c r="AS17" s="186" t="s">
        <v>219</v>
      </c>
      <c r="AT17" s="187" t="s">
        <v>403</v>
      </c>
      <c r="AU17" s="187">
        <v>0</v>
      </c>
      <c r="AV17" s="188">
        <v>3</v>
      </c>
      <c r="AW17" s="188">
        <v>0</v>
      </c>
      <c r="AX17" s="188">
        <v>0</v>
      </c>
      <c r="AY17" s="188">
        <v>1</v>
      </c>
      <c r="AZ17" s="188">
        <v>1</v>
      </c>
      <c r="BA17" s="188">
        <v>4</v>
      </c>
      <c r="BB17" s="188">
        <v>0</v>
      </c>
      <c r="BC17" s="188">
        <v>0</v>
      </c>
      <c r="BD17" s="188">
        <v>2</v>
      </c>
      <c r="BE17" s="188">
        <v>1</v>
      </c>
      <c r="BF17" s="187" t="s">
        <v>302</v>
      </c>
      <c r="BG17" s="187" t="s">
        <v>374</v>
      </c>
      <c r="BH17" s="187" t="s">
        <v>373</v>
      </c>
      <c r="BI17" s="187" t="s">
        <v>372</v>
      </c>
      <c r="BJ17" s="187" t="s">
        <v>130</v>
      </c>
      <c r="BK17" s="187" t="s">
        <v>132</v>
      </c>
      <c r="BL17" s="187" t="s">
        <v>145</v>
      </c>
      <c r="BM17" s="187" t="s">
        <v>127</v>
      </c>
      <c r="BN17" s="187" t="s">
        <v>138</v>
      </c>
      <c r="BO17" s="187" t="s">
        <v>211</v>
      </c>
      <c r="BP17" s="187" t="s">
        <v>74</v>
      </c>
      <c r="BQ17" s="187" t="s">
        <v>314</v>
      </c>
      <c r="BR17" s="195" t="s">
        <v>681</v>
      </c>
      <c r="BU17" s="261" t="s">
        <v>14</v>
      </c>
      <c r="BV17" s="259" t="s">
        <v>533</v>
      </c>
      <c r="BW17" s="259" t="s">
        <v>541</v>
      </c>
      <c r="BX17" s="259">
        <v>1</v>
      </c>
      <c r="BY17" s="259" t="s">
        <v>521</v>
      </c>
      <c r="BZ17" s="259" t="s">
        <v>545</v>
      </c>
      <c r="CA17" s="259" t="s">
        <v>550</v>
      </c>
      <c r="CB17" s="259" t="s">
        <v>735</v>
      </c>
      <c r="CC17" s="259" t="s">
        <v>743</v>
      </c>
      <c r="CD17" s="259" t="s">
        <v>712</v>
      </c>
      <c r="CE17" s="260"/>
      <c r="CF17" s="275">
        <v>2</v>
      </c>
      <c r="CG17" s="260" t="s">
        <v>3</v>
      </c>
      <c r="CH17" s="275" t="str">
        <f t="shared" si="2"/>
        <v>Bouclier 2, Défensif,  Inoffensif</v>
      </c>
      <c r="CI17" s="228" t="str">
        <f t="shared" si="3"/>
        <v>Mêlée (Base)</v>
      </c>
      <c r="CP17" s="164" t="s">
        <v>455</v>
      </c>
      <c r="CQ17" s="165" t="s">
        <v>461</v>
      </c>
      <c r="CR17" s="165" t="s">
        <v>449</v>
      </c>
      <c r="CS17" s="165" t="s">
        <v>489</v>
      </c>
      <c r="CT17" s="166" t="s">
        <v>462</v>
      </c>
      <c r="CU17" s="3"/>
      <c r="CV17" s="3"/>
      <c r="CW17" s="3"/>
      <c r="CX17" s="164" t="s">
        <v>433</v>
      </c>
      <c r="CY17" s="165" t="s">
        <v>442</v>
      </c>
      <c r="CZ17" s="165" t="s">
        <v>430</v>
      </c>
      <c r="DA17" s="167" t="s">
        <v>480</v>
      </c>
      <c r="DB17" s="168" t="s">
        <v>449</v>
      </c>
    </row>
    <row r="18" spans="3:106" ht="18">
      <c r="C18" t="str">
        <f>VLOOKUP($C$1,$D$2:$AL$6,18,FALSE)</f>
        <v>Charme</v>
      </c>
      <c r="T18" s="6" t="s">
        <v>133</v>
      </c>
      <c r="U18" s="7" t="s">
        <v>12</v>
      </c>
      <c r="W18" s="6" t="s">
        <v>728</v>
      </c>
      <c r="X18" s="7" t="s">
        <v>4</v>
      </c>
      <c r="Z18" s="6" t="s">
        <v>84</v>
      </c>
      <c r="AA18" s="7" t="s">
        <v>194</v>
      </c>
      <c r="AC18" s="33"/>
      <c r="AD18" s="33"/>
      <c r="AE18" s="33"/>
      <c r="AF18" s="33"/>
      <c r="AG18" s="33"/>
      <c r="AH18" s="118" t="s">
        <v>277</v>
      </c>
      <c r="AI18" s="7" t="s">
        <v>517</v>
      </c>
      <c r="AJ18" s="33"/>
      <c r="AK18" s="33"/>
      <c r="AL18" s="33"/>
      <c r="AM18" s="33"/>
      <c r="AQ18" s="6" t="s">
        <v>33</v>
      </c>
      <c r="AR18" s="5" t="s">
        <v>270</v>
      </c>
      <c r="AS18" s="186" t="s">
        <v>222</v>
      </c>
      <c r="AT18" s="187" t="s">
        <v>403</v>
      </c>
      <c r="AU18" s="187">
        <v>2</v>
      </c>
      <c r="AV18" s="188">
        <v>1</v>
      </c>
      <c r="AW18" s="188">
        <v>1</v>
      </c>
      <c r="AX18" s="188">
        <v>4</v>
      </c>
      <c r="AY18" s="188">
        <v>2</v>
      </c>
      <c r="AZ18" s="189">
        <v>0</v>
      </c>
      <c r="BA18" s="189">
        <v>3</v>
      </c>
      <c r="BB18" s="189">
        <v>0</v>
      </c>
      <c r="BC18" s="188">
        <v>0</v>
      </c>
      <c r="BD18" s="188">
        <v>1</v>
      </c>
      <c r="BE18" s="188">
        <v>0</v>
      </c>
      <c r="BF18" s="187" t="s">
        <v>177</v>
      </c>
      <c r="BG18" s="187" t="s">
        <v>374</v>
      </c>
      <c r="BH18" s="187" t="s">
        <v>375</v>
      </c>
      <c r="BI18" s="187" t="s">
        <v>376</v>
      </c>
      <c r="BJ18" s="187" t="s">
        <v>130</v>
      </c>
      <c r="BK18" s="187" t="s">
        <v>343</v>
      </c>
      <c r="BL18" s="187" t="s">
        <v>334</v>
      </c>
      <c r="BM18" s="187" t="s">
        <v>145</v>
      </c>
      <c r="BN18" s="187" t="s">
        <v>211</v>
      </c>
      <c r="BO18" s="187" t="s">
        <v>184</v>
      </c>
      <c r="BP18" s="187" t="s">
        <v>339</v>
      </c>
      <c r="BQ18" s="187" t="s">
        <v>668</v>
      </c>
      <c r="BR18" s="195" t="s">
        <v>690</v>
      </c>
      <c r="BU18" s="261" t="s">
        <v>14</v>
      </c>
      <c r="BV18" s="259" t="s">
        <v>534</v>
      </c>
      <c r="BW18" s="259" t="s">
        <v>542</v>
      </c>
      <c r="BX18" s="259">
        <v>3</v>
      </c>
      <c r="BY18" s="259" t="s">
        <v>521</v>
      </c>
      <c r="BZ18" s="259" t="s">
        <v>545</v>
      </c>
      <c r="CA18" s="259" t="s">
        <v>551</v>
      </c>
      <c r="CB18" s="259" t="s">
        <v>736</v>
      </c>
      <c r="CC18" s="259" t="s">
        <v>743</v>
      </c>
      <c r="CD18" s="259" t="s">
        <v>712</v>
      </c>
      <c r="CE18" s="260"/>
      <c r="CF18" s="275">
        <v>3</v>
      </c>
      <c r="CG18" s="260" t="s">
        <v>3</v>
      </c>
      <c r="CH18" s="275" t="str">
        <f t="shared" si="2"/>
        <v>Bouclier 3, Défensif,  Inoffensif</v>
      </c>
      <c r="CI18" s="228" t="str">
        <f t="shared" si="3"/>
        <v>Mêlée (Base)</v>
      </c>
      <c r="CP18" s="164" t="s">
        <v>437</v>
      </c>
      <c r="CQ18" s="165" t="s">
        <v>403</v>
      </c>
      <c r="CR18" s="165" t="s">
        <v>457</v>
      </c>
      <c r="CS18" s="165" t="s">
        <v>470</v>
      </c>
      <c r="CT18" s="166" t="s">
        <v>495</v>
      </c>
      <c r="CU18" s="3"/>
      <c r="CV18" s="3"/>
      <c r="CW18" s="3"/>
      <c r="CX18" s="164" t="s">
        <v>434</v>
      </c>
      <c r="CY18" s="165" t="s">
        <v>437</v>
      </c>
      <c r="CZ18" s="165" t="s">
        <v>436</v>
      </c>
      <c r="DA18" s="167" t="s">
        <v>481</v>
      </c>
      <c r="DB18" s="168" t="s">
        <v>449</v>
      </c>
    </row>
    <row r="19" spans="3:106" ht="18.75" thickBot="1">
      <c r="C19" t="str">
        <f>VLOOKUP($C$1,$D$2:$AL$6,19,FALSE)</f>
        <v>Calme</v>
      </c>
      <c r="T19" s="6" t="s">
        <v>134</v>
      </c>
      <c r="U19" s="7" t="s">
        <v>7</v>
      </c>
      <c r="W19" s="6" t="s">
        <v>727</v>
      </c>
      <c r="X19" s="7" t="s">
        <v>4</v>
      </c>
      <c r="Z19" s="6" t="s">
        <v>85</v>
      </c>
      <c r="AA19" s="7" t="s">
        <v>422</v>
      </c>
      <c r="AC19" s="33"/>
      <c r="AD19" s="33"/>
      <c r="AE19" s="33"/>
      <c r="AF19" s="33"/>
      <c r="AG19" s="33"/>
      <c r="AH19" s="120" t="s">
        <v>272</v>
      </c>
      <c r="AI19" s="110" t="s">
        <v>519</v>
      </c>
      <c r="AJ19" s="33"/>
      <c r="AK19" s="33"/>
      <c r="AL19" s="33"/>
      <c r="AM19" s="33"/>
      <c r="AQ19" s="6" t="s">
        <v>279</v>
      </c>
      <c r="AR19" s="5" t="s">
        <v>270</v>
      </c>
      <c r="AS19" s="186" t="s">
        <v>224</v>
      </c>
      <c r="AT19" s="187" t="s">
        <v>403</v>
      </c>
      <c r="AU19" s="187">
        <v>3</v>
      </c>
      <c r="AV19" s="188">
        <v>1</v>
      </c>
      <c r="AW19" s="188">
        <v>0</v>
      </c>
      <c r="AX19" s="188">
        <v>1</v>
      </c>
      <c r="AY19" s="188">
        <v>0</v>
      </c>
      <c r="AZ19" s="188">
        <v>0</v>
      </c>
      <c r="BA19" s="188">
        <v>3</v>
      </c>
      <c r="BB19" s="188">
        <v>0</v>
      </c>
      <c r="BC19" s="188">
        <v>4</v>
      </c>
      <c r="BD19" s="188">
        <v>2</v>
      </c>
      <c r="BE19" s="188">
        <v>1</v>
      </c>
      <c r="BF19" s="187" t="s">
        <v>866</v>
      </c>
      <c r="BG19" s="187" t="s">
        <v>360</v>
      </c>
      <c r="BH19" s="187" t="s">
        <v>376</v>
      </c>
      <c r="BI19" s="187" t="s">
        <v>357</v>
      </c>
      <c r="BJ19" s="187" t="s">
        <v>130</v>
      </c>
      <c r="BK19" s="187" t="s">
        <v>72</v>
      </c>
      <c r="BL19" s="187" t="s">
        <v>145</v>
      </c>
      <c r="BM19" s="187" t="s">
        <v>138</v>
      </c>
      <c r="BN19" s="187" t="s">
        <v>211</v>
      </c>
      <c r="BO19" s="187" t="s">
        <v>140</v>
      </c>
      <c r="BP19" s="187" t="s">
        <v>141</v>
      </c>
      <c r="BQ19" s="187" t="s">
        <v>75</v>
      </c>
      <c r="BR19" s="195" t="s">
        <v>820</v>
      </c>
      <c r="BU19" s="261" t="s">
        <v>535</v>
      </c>
      <c r="BV19" s="259" t="s">
        <v>536</v>
      </c>
      <c r="BW19" s="259" t="s">
        <v>542</v>
      </c>
      <c r="BX19" s="259">
        <v>3</v>
      </c>
      <c r="BY19" s="259" t="s">
        <v>583</v>
      </c>
      <c r="BZ19" s="259" t="s">
        <v>547</v>
      </c>
      <c r="CA19" s="259" t="s">
        <v>552</v>
      </c>
      <c r="CB19" s="259" t="s">
        <v>555</v>
      </c>
      <c r="CC19" s="259"/>
      <c r="CD19" s="259"/>
      <c r="CE19" s="260"/>
      <c r="CF19" s="275">
        <v>5</v>
      </c>
      <c r="CG19" s="260" t="s">
        <v>3</v>
      </c>
      <c r="CH19" s="275" t="str">
        <f t="shared" si="2"/>
        <v>Assomante</v>
      </c>
      <c r="CI19" s="228" t="str">
        <f t="shared" si="3"/>
        <v>Mêlée (Cavalerie)</v>
      </c>
      <c r="CP19" s="164" t="s">
        <v>438</v>
      </c>
      <c r="CQ19" s="165" t="s">
        <v>462</v>
      </c>
      <c r="CR19" s="165" t="s">
        <v>465</v>
      </c>
      <c r="CS19" s="165" t="s">
        <v>490</v>
      </c>
      <c r="CT19" s="166" t="s">
        <v>437</v>
      </c>
      <c r="CU19" s="3"/>
      <c r="CV19" s="3"/>
      <c r="CW19" s="3"/>
      <c r="CX19" s="164" t="s">
        <v>435</v>
      </c>
      <c r="CY19" s="165" t="s">
        <v>436</v>
      </c>
      <c r="CZ19" s="165" t="s">
        <v>435</v>
      </c>
      <c r="DA19" s="167" t="s">
        <v>482</v>
      </c>
      <c r="DB19" s="168" t="s">
        <v>437</v>
      </c>
    </row>
    <row r="20" spans="3:106" ht="18">
      <c r="C20" t="str">
        <f>VLOOKUP($C$1,$D$2:$AL$6,20,FALSE)</f>
        <v>Evaluation</v>
      </c>
      <c r="T20" s="6" t="s">
        <v>135</v>
      </c>
      <c r="U20" s="7" t="s">
        <v>12</v>
      </c>
      <c r="W20" s="6" t="s">
        <v>729</v>
      </c>
      <c r="X20" s="7" t="s">
        <v>4</v>
      </c>
      <c r="Z20" s="6" t="s">
        <v>86</v>
      </c>
      <c r="AA20" s="7" t="s">
        <v>171</v>
      </c>
      <c r="AC20" s="33"/>
      <c r="AD20" s="33"/>
      <c r="AE20" s="33"/>
      <c r="AF20" s="33"/>
      <c r="AG20" s="33"/>
      <c r="AJ20" s="33"/>
      <c r="AK20" s="33"/>
      <c r="AL20" s="33"/>
      <c r="AM20" s="33"/>
      <c r="AQ20" s="6" t="s">
        <v>34</v>
      </c>
      <c r="AR20" s="5" t="s">
        <v>271</v>
      </c>
      <c r="AS20" s="186" t="s">
        <v>210</v>
      </c>
      <c r="AT20" s="187" t="s">
        <v>404</v>
      </c>
      <c r="AU20" s="187">
        <v>1</v>
      </c>
      <c r="AV20" s="188">
        <v>0</v>
      </c>
      <c r="AW20" s="188">
        <v>0</v>
      </c>
      <c r="AX20" s="188">
        <v>1</v>
      </c>
      <c r="AY20" s="188">
        <v>0</v>
      </c>
      <c r="AZ20" s="189">
        <v>0</v>
      </c>
      <c r="BA20" s="189">
        <v>1</v>
      </c>
      <c r="BB20" s="189">
        <v>1</v>
      </c>
      <c r="BC20" s="188">
        <v>4</v>
      </c>
      <c r="BD20" s="188">
        <v>3</v>
      </c>
      <c r="BE20" s="188">
        <v>2</v>
      </c>
      <c r="BF20" s="187" t="s">
        <v>315</v>
      </c>
      <c r="BG20" s="187" t="s">
        <v>358</v>
      </c>
      <c r="BH20" s="187" t="s">
        <v>363</v>
      </c>
      <c r="BI20" s="187" t="s">
        <v>357</v>
      </c>
      <c r="BJ20" s="187" t="s">
        <v>318</v>
      </c>
      <c r="BK20" s="187" t="s">
        <v>127</v>
      </c>
      <c r="BL20" s="187" t="s">
        <v>145</v>
      </c>
      <c r="BM20" s="187" t="s">
        <v>296</v>
      </c>
      <c r="BN20" s="187" t="s">
        <v>211</v>
      </c>
      <c r="BO20" s="187" t="s">
        <v>133</v>
      </c>
      <c r="BP20" s="187" t="s">
        <v>75</v>
      </c>
      <c r="BQ20" s="187" t="s">
        <v>314</v>
      </c>
      <c r="BR20" s="195" t="s">
        <v>691</v>
      </c>
      <c r="BU20" s="261" t="s">
        <v>535</v>
      </c>
      <c r="BV20" s="259" t="s">
        <v>537</v>
      </c>
      <c r="BW20" s="259" t="s">
        <v>543</v>
      </c>
      <c r="BX20" s="259">
        <v>3</v>
      </c>
      <c r="BY20" s="259" t="s">
        <v>544</v>
      </c>
      <c r="BZ20" s="259" t="s">
        <v>548</v>
      </c>
      <c r="CA20" s="259" t="s">
        <v>553</v>
      </c>
      <c r="CB20" s="259" t="s">
        <v>737</v>
      </c>
      <c r="CC20" s="259" t="s">
        <v>706</v>
      </c>
      <c r="CD20" s="259"/>
      <c r="CE20" s="260"/>
      <c r="CF20" s="275">
        <v>6</v>
      </c>
      <c r="CG20" s="260" t="s">
        <v>3</v>
      </c>
      <c r="CH20" s="275" t="str">
        <f t="shared" si="2"/>
        <v>Rapide, Empaleuse</v>
      </c>
      <c r="CI20" s="228" t="str">
        <f t="shared" si="3"/>
        <v>Mêlée (Cavalerie)</v>
      </c>
      <c r="CP20" s="164" t="s">
        <v>456</v>
      </c>
      <c r="CQ20" s="165" t="s">
        <v>437</v>
      </c>
      <c r="CR20" s="165" t="s">
        <v>466</v>
      </c>
      <c r="CS20" s="165" t="s">
        <v>456</v>
      </c>
      <c r="CT20" s="166" t="s">
        <v>496</v>
      </c>
      <c r="CU20" s="3"/>
      <c r="CV20" s="3"/>
      <c r="CW20" s="3"/>
      <c r="CX20" s="164" t="s">
        <v>436</v>
      </c>
      <c r="CY20" s="165" t="s">
        <v>430</v>
      </c>
      <c r="CZ20" s="165" t="s">
        <v>443</v>
      </c>
      <c r="DA20" s="167" t="s">
        <v>443</v>
      </c>
      <c r="DB20" s="168" t="s">
        <v>474</v>
      </c>
    </row>
    <row r="21" spans="3:106" ht="18">
      <c r="C21" t="str">
        <f>VLOOKUP($C$1,$D$2:$AL$6,21,FALSE)</f>
        <v>Commérages</v>
      </c>
      <c r="T21" s="6" t="s">
        <v>136</v>
      </c>
      <c r="U21" s="7" t="s">
        <v>7</v>
      </c>
      <c r="W21" s="64" t="s">
        <v>318</v>
      </c>
      <c r="X21" s="65" t="s">
        <v>9</v>
      </c>
      <c r="Z21" s="6" t="s">
        <v>87</v>
      </c>
      <c r="AA21" s="7" t="s">
        <v>116</v>
      </c>
      <c r="AC21" s="33"/>
      <c r="AD21" s="33"/>
      <c r="AE21" s="33"/>
      <c r="AF21" s="33"/>
      <c r="AG21" s="33"/>
      <c r="AH21" s="33"/>
      <c r="AI21" s="33"/>
      <c r="AJ21" s="33"/>
      <c r="AK21" s="33"/>
      <c r="AL21" s="33"/>
      <c r="AM21" s="33"/>
      <c r="AQ21" s="6" t="s">
        <v>164</v>
      </c>
      <c r="AR21" s="5" t="s">
        <v>271</v>
      </c>
      <c r="AS21" s="186" t="s">
        <v>225</v>
      </c>
      <c r="AT21" s="187" t="s">
        <v>404</v>
      </c>
      <c r="AU21" s="187">
        <v>2</v>
      </c>
      <c r="AV21" s="188">
        <v>0</v>
      </c>
      <c r="AW21" s="188">
        <v>0</v>
      </c>
      <c r="AX21" s="188">
        <v>0</v>
      </c>
      <c r="AY21" s="188">
        <v>1</v>
      </c>
      <c r="AZ21" s="188">
        <v>1</v>
      </c>
      <c r="BA21" s="188">
        <v>1</v>
      </c>
      <c r="BB21" s="188">
        <v>0</v>
      </c>
      <c r="BC21" s="188">
        <v>3</v>
      </c>
      <c r="BD21" s="188">
        <v>4</v>
      </c>
      <c r="BE21" s="188">
        <v>2</v>
      </c>
      <c r="BF21" s="187" t="s">
        <v>371</v>
      </c>
      <c r="BG21" s="187" t="s">
        <v>858</v>
      </c>
      <c r="BH21" s="187" t="s">
        <v>301</v>
      </c>
      <c r="BI21" s="187" t="s">
        <v>105</v>
      </c>
      <c r="BJ21" s="187" t="s">
        <v>135</v>
      </c>
      <c r="BK21" s="187" t="s">
        <v>145</v>
      </c>
      <c r="BL21" s="187" t="s">
        <v>211</v>
      </c>
      <c r="BM21" s="187" t="s">
        <v>133</v>
      </c>
      <c r="BN21" s="187" t="s">
        <v>126</v>
      </c>
      <c r="BO21" s="187" t="s">
        <v>332</v>
      </c>
      <c r="BP21" s="187" t="s">
        <v>766</v>
      </c>
      <c r="BQ21" s="187" t="s">
        <v>75</v>
      </c>
      <c r="BR21" s="195" t="s">
        <v>770</v>
      </c>
      <c r="BU21" s="261" t="s">
        <v>557</v>
      </c>
      <c r="BV21" s="259" t="s">
        <v>558</v>
      </c>
      <c r="BW21" s="259" t="s">
        <v>562</v>
      </c>
      <c r="BX21" s="259">
        <v>2</v>
      </c>
      <c r="BY21" s="259" t="s">
        <v>521</v>
      </c>
      <c r="BZ21" s="259" t="s">
        <v>547</v>
      </c>
      <c r="CA21" s="259" t="s">
        <v>523</v>
      </c>
      <c r="CB21" s="259" t="s">
        <v>738</v>
      </c>
      <c r="CC21" s="259" t="s">
        <v>707</v>
      </c>
      <c r="CD21" s="259"/>
      <c r="CE21" s="260"/>
      <c r="CF21" s="275">
        <v>4</v>
      </c>
      <c r="CG21" s="260" t="s">
        <v>3</v>
      </c>
      <c r="CH21" s="275" t="str">
        <f t="shared" si="2"/>
        <v>Défensive, Assomante</v>
      </c>
      <c r="CI21" s="228" t="str">
        <f t="shared" si="3"/>
        <v>Mêlée (Hast)</v>
      </c>
      <c r="CP21" s="164" t="s">
        <v>457</v>
      </c>
      <c r="CQ21" s="165" t="s">
        <v>463</v>
      </c>
      <c r="CR21" s="165" t="s">
        <v>467</v>
      </c>
      <c r="CS21" s="165" t="s">
        <v>457</v>
      </c>
      <c r="CT21" s="166" t="s">
        <v>497</v>
      </c>
      <c r="CU21" s="3"/>
      <c r="CV21" s="3"/>
      <c r="CW21" s="3"/>
      <c r="CX21" s="164" t="s">
        <v>437</v>
      </c>
      <c r="CY21" s="165" t="s">
        <v>443</v>
      </c>
      <c r="CZ21" s="165" t="s">
        <v>484</v>
      </c>
      <c r="DA21" s="167" t="s">
        <v>483</v>
      </c>
      <c r="DB21" s="168" t="s">
        <v>475</v>
      </c>
    </row>
    <row r="22" spans="3:106" ht="18.75" thickBot="1">
      <c r="C22" t="str">
        <f>VLOOKUP($C$1,$D$2:$AL$6,22,FALSE)</f>
        <v>Marchandage</v>
      </c>
      <c r="T22" s="6" t="s">
        <v>144</v>
      </c>
      <c r="U22" s="7" t="s">
        <v>11</v>
      </c>
      <c r="W22" s="64" t="s">
        <v>761</v>
      </c>
      <c r="X22" s="65" t="s">
        <v>9</v>
      </c>
      <c r="Z22" s="6" t="s">
        <v>88</v>
      </c>
      <c r="AA22" s="7" t="s">
        <v>114</v>
      </c>
      <c r="AC22" s="33"/>
      <c r="AD22" s="33"/>
      <c r="AE22" s="33"/>
      <c r="AF22" s="33"/>
      <c r="AG22" s="33"/>
      <c r="AH22" s="33"/>
      <c r="AI22" s="33"/>
      <c r="AJ22" s="33"/>
      <c r="AK22" s="33"/>
      <c r="AL22" s="33"/>
      <c r="AM22" s="33"/>
      <c r="AQ22" s="6" t="s">
        <v>35</v>
      </c>
      <c r="AR22" s="5" t="s">
        <v>271</v>
      </c>
      <c r="AS22" s="186" t="s">
        <v>226</v>
      </c>
      <c r="AT22" s="187" t="s">
        <v>404</v>
      </c>
      <c r="AU22" s="187">
        <v>3</v>
      </c>
      <c r="AV22" s="188">
        <v>1</v>
      </c>
      <c r="AW22" s="188">
        <v>2</v>
      </c>
      <c r="AX22" s="188">
        <v>3</v>
      </c>
      <c r="AY22" s="188">
        <v>0</v>
      </c>
      <c r="AZ22" s="189">
        <v>1</v>
      </c>
      <c r="BA22" s="189">
        <v>1</v>
      </c>
      <c r="BB22" s="189">
        <v>0</v>
      </c>
      <c r="BC22" s="188">
        <v>0</v>
      </c>
      <c r="BD22" s="188">
        <v>4</v>
      </c>
      <c r="BE22" s="188">
        <v>0</v>
      </c>
      <c r="BF22" s="187" t="s">
        <v>380</v>
      </c>
      <c r="BG22" s="187" t="s">
        <v>379</v>
      </c>
      <c r="BH22" s="187" t="s">
        <v>377</v>
      </c>
      <c r="BI22" s="187" t="s">
        <v>378</v>
      </c>
      <c r="BJ22" s="187" t="s">
        <v>130</v>
      </c>
      <c r="BK22" s="187" t="s">
        <v>138</v>
      </c>
      <c r="BL22" s="187" t="s">
        <v>211</v>
      </c>
      <c r="BM22" s="187" t="s">
        <v>345</v>
      </c>
      <c r="BN22" s="187" t="s">
        <v>74</v>
      </c>
      <c r="BO22" s="187" t="s">
        <v>332</v>
      </c>
      <c r="BP22" s="187" t="s">
        <v>720</v>
      </c>
      <c r="BQ22" s="187" t="s">
        <v>75</v>
      </c>
      <c r="BR22" s="195" t="s">
        <v>771</v>
      </c>
      <c r="BU22" s="261" t="s">
        <v>557</v>
      </c>
      <c r="BV22" s="259" t="s">
        <v>559</v>
      </c>
      <c r="BW22" s="259" t="s">
        <v>541</v>
      </c>
      <c r="BX22" s="259">
        <v>3</v>
      </c>
      <c r="BY22" s="259" t="s">
        <v>521</v>
      </c>
      <c r="BZ22" s="259" t="s">
        <v>547</v>
      </c>
      <c r="CA22" s="259" t="s">
        <v>523</v>
      </c>
      <c r="CB22" s="259" t="s">
        <v>738</v>
      </c>
      <c r="CC22" s="259" t="s">
        <v>744</v>
      </c>
      <c r="CD22" s="259" t="s">
        <v>706</v>
      </c>
      <c r="CE22" s="260"/>
      <c r="CF22" s="275">
        <v>4</v>
      </c>
      <c r="CG22" s="260" t="s">
        <v>3</v>
      </c>
      <c r="CH22" s="275" t="str">
        <f t="shared" si="2"/>
        <v>Défensive, Taille,  Empaleuse</v>
      </c>
      <c r="CI22" s="228" t="str">
        <f t="shared" si="3"/>
        <v>Mêlée (Hast)</v>
      </c>
      <c r="CP22" s="169" t="s">
        <v>458</v>
      </c>
      <c r="CQ22" s="170" t="s">
        <v>438</v>
      </c>
      <c r="CR22" s="170" t="s">
        <v>468</v>
      </c>
      <c r="CS22" s="170" t="s">
        <v>438</v>
      </c>
      <c r="CT22" s="171" t="s">
        <v>498</v>
      </c>
      <c r="CU22" s="3"/>
      <c r="CV22" s="3"/>
      <c r="CW22" s="3"/>
      <c r="CX22" s="169" t="s">
        <v>438</v>
      </c>
      <c r="CY22" s="170" t="s">
        <v>444</v>
      </c>
      <c r="CZ22" s="170" t="s">
        <v>484</v>
      </c>
      <c r="DA22" s="172" t="s">
        <v>405</v>
      </c>
      <c r="DB22" s="173" t="s">
        <v>450</v>
      </c>
    </row>
    <row r="23" spans="3:106" ht="18">
      <c r="C23" t="str">
        <f>VLOOKUP($C$1,$D$2:$AL$6,23,FALSE)</f>
        <v>Langue (Bretonnien)</v>
      </c>
      <c r="T23" s="6" t="s">
        <v>685</v>
      </c>
      <c r="U23" s="7" t="s">
        <v>7</v>
      </c>
      <c r="W23" s="64" t="s">
        <v>693</v>
      </c>
      <c r="X23" s="65" t="s">
        <v>9</v>
      </c>
      <c r="Z23" s="6" t="s">
        <v>89</v>
      </c>
      <c r="AA23" s="7" t="s">
        <v>413</v>
      </c>
      <c r="AC23" s="33"/>
      <c r="AD23" s="33"/>
      <c r="AE23" s="33"/>
      <c r="AF23" s="33"/>
      <c r="AG23" s="33"/>
      <c r="AJ23" s="33"/>
      <c r="AK23" s="33"/>
      <c r="AL23" s="33"/>
      <c r="AM23" s="33"/>
      <c r="AQ23" s="6" t="s">
        <v>36</v>
      </c>
      <c r="AR23" s="5" t="s">
        <v>271</v>
      </c>
      <c r="AS23" s="186" t="s">
        <v>227</v>
      </c>
      <c r="AT23" s="187" t="s">
        <v>404</v>
      </c>
      <c r="AU23" s="187">
        <v>2</v>
      </c>
      <c r="AV23" s="188">
        <v>0</v>
      </c>
      <c r="AW23" s="188">
        <v>0</v>
      </c>
      <c r="AX23" s="188">
        <v>0</v>
      </c>
      <c r="AY23" s="188">
        <v>1</v>
      </c>
      <c r="AZ23" s="188">
        <v>1</v>
      </c>
      <c r="BA23" s="188">
        <v>3</v>
      </c>
      <c r="BB23" s="188">
        <v>0</v>
      </c>
      <c r="BC23" s="188">
        <v>2</v>
      </c>
      <c r="BD23" s="188">
        <v>4</v>
      </c>
      <c r="BE23" s="188">
        <v>1</v>
      </c>
      <c r="BF23" s="187" t="s">
        <v>303</v>
      </c>
      <c r="BG23" s="187" t="s">
        <v>859</v>
      </c>
      <c r="BH23" s="187" t="s">
        <v>105</v>
      </c>
      <c r="BI23" s="187" t="s">
        <v>868</v>
      </c>
      <c r="BJ23" s="187" t="s">
        <v>130</v>
      </c>
      <c r="BK23" s="187" t="s">
        <v>132</v>
      </c>
      <c r="BL23" s="187" t="s">
        <v>134</v>
      </c>
      <c r="BM23" s="187" t="s">
        <v>138</v>
      </c>
      <c r="BN23" s="187" t="s">
        <v>211</v>
      </c>
      <c r="BO23" s="187" t="s">
        <v>74</v>
      </c>
      <c r="BP23" s="187" t="s">
        <v>685</v>
      </c>
      <c r="BQ23" s="187" t="s">
        <v>425</v>
      </c>
      <c r="BR23" s="195" t="s">
        <v>821</v>
      </c>
      <c r="BU23" s="261" t="s">
        <v>557</v>
      </c>
      <c r="BV23" s="259" t="s">
        <v>560</v>
      </c>
      <c r="BW23" s="259" t="s">
        <v>563</v>
      </c>
      <c r="BX23" s="259">
        <v>2</v>
      </c>
      <c r="BY23" s="259" t="s">
        <v>521</v>
      </c>
      <c r="BZ23" s="259" t="s">
        <v>548</v>
      </c>
      <c r="CA23" s="259" t="s">
        <v>523</v>
      </c>
      <c r="CB23" s="259" t="s">
        <v>556</v>
      </c>
      <c r="CC23" s="259"/>
      <c r="CD23" s="259"/>
      <c r="CE23" s="260"/>
      <c r="CF23" s="275">
        <v>4</v>
      </c>
      <c r="CG23" s="260" t="s">
        <v>3</v>
      </c>
      <c r="CH23" s="275" t="str">
        <f t="shared" si="2"/>
        <v>Empaleuse</v>
      </c>
      <c r="CI23" s="228" t="str">
        <f t="shared" si="3"/>
        <v>Mêlée (Hast)</v>
      </c>
    </row>
    <row r="24" spans="3:106" ht="18">
      <c r="C24" t="str">
        <f>VLOOKUP($C$1,$D$2:$AL$6,24,FALSE)</f>
        <v>Langue (Principauté Frontalière)</v>
      </c>
      <c r="T24" s="6" t="s">
        <v>138</v>
      </c>
      <c r="U24" s="7" t="s">
        <v>7</v>
      </c>
      <c r="W24" s="64" t="s">
        <v>127</v>
      </c>
      <c r="X24" s="65" t="s">
        <v>11</v>
      </c>
      <c r="Z24" s="6" t="s">
        <v>90</v>
      </c>
      <c r="AA24" s="7" t="s">
        <v>96</v>
      </c>
      <c r="AG24"/>
      <c r="AH24" s="33"/>
      <c r="AQ24" s="6" t="s">
        <v>39</v>
      </c>
      <c r="AR24" s="5" t="s">
        <v>271</v>
      </c>
      <c r="AS24" s="186" t="s">
        <v>229</v>
      </c>
      <c r="AT24" s="187" t="s">
        <v>403</v>
      </c>
      <c r="AU24" s="187">
        <v>3</v>
      </c>
      <c r="AV24" s="188">
        <v>2</v>
      </c>
      <c r="AW24" s="188">
        <v>0</v>
      </c>
      <c r="AX24" s="188">
        <v>0</v>
      </c>
      <c r="AY24" s="188">
        <v>0</v>
      </c>
      <c r="AZ24" s="189">
        <v>1</v>
      </c>
      <c r="BA24" s="189">
        <v>3</v>
      </c>
      <c r="BB24" s="189">
        <v>0</v>
      </c>
      <c r="BC24" s="188">
        <v>4</v>
      </c>
      <c r="BD24" s="188">
        <v>1</v>
      </c>
      <c r="BE24" s="188">
        <v>1</v>
      </c>
      <c r="BF24" s="187" t="s">
        <v>303</v>
      </c>
      <c r="BG24" s="187" t="s">
        <v>381</v>
      </c>
      <c r="BH24" s="187" t="s">
        <v>301</v>
      </c>
      <c r="BI24" s="187" t="s">
        <v>382</v>
      </c>
      <c r="BJ24" s="187" t="s">
        <v>135</v>
      </c>
      <c r="BK24" s="187" t="s">
        <v>132</v>
      </c>
      <c r="BL24" s="187" t="s">
        <v>127</v>
      </c>
      <c r="BM24" s="187" t="s">
        <v>140</v>
      </c>
      <c r="BN24" s="187" t="s">
        <v>133</v>
      </c>
      <c r="BO24" s="187" t="s">
        <v>126</v>
      </c>
      <c r="BP24" s="187" t="s">
        <v>75</v>
      </c>
      <c r="BQ24" s="187" t="s">
        <v>319</v>
      </c>
      <c r="BR24" s="195" t="s">
        <v>828</v>
      </c>
      <c r="BU24" s="261" t="s">
        <v>557</v>
      </c>
      <c r="BV24" s="259" t="s">
        <v>561</v>
      </c>
      <c r="BW24" s="259" t="s">
        <v>564</v>
      </c>
      <c r="BX24" s="259">
        <v>4</v>
      </c>
      <c r="BY24" s="259" t="s">
        <v>544</v>
      </c>
      <c r="BZ24" s="259" t="s">
        <v>565</v>
      </c>
      <c r="CA24" s="259" t="s">
        <v>523</v>
      </c>
      <c r="CB24" s="259" t="s">
        <v>556</v>
      </c>
      <c r="CC24" s="259"/>
      <c r="CD24" s="259"/>
      <c r="CE24" s="260"/>
      <c r="CF24" s="275">
        <v>4</v>
      </c>
      <c r="CG24" s="260" t="s">
        <v>3</v>
      </c>
      <c r="CH24" s="275" t="str">
        <f t="shared" si="2"/>
        <v>Empaleuse</v>
      </c>
      <c r="CI24" s="228" t="str">
        <f t="shared" si="3"/>
        <v>Mêlée (Hast)</v>
      </c>
    </row>
    <row r="25" spans="3:106" ht="18">
      <c r="C25" t="str">
        <f>VLOOKUP($C$1,$D$2:$AL$6,25,FALSE)</f>
        <v>Commandement</v>
      </c>
      <c r="T25" s="6" t="s">
        <v>139</v>
      </c>
      <c r="U25" s="7" t="s">
        <v>6</v>
      </c>
      <c r="W25" s="64" t="s">
        <v>347</v>
      </c>
      <c r="X25" s="65" t="s">
        <v>10</v>
      </c>
      <c r="Z25" s="6" t="s">
        <v>91</v>
      </c>
      <c r="AA25" s="7" t="s">
        <v>168</v>
      </c>
      <c r="AG25"/>
      <c r="AQ25" s="6" t="s">
        <v>40</v>
      </c>
      <c r="AR25" s="5" t="s">
        <v>271</v>
      </c>
      <c r="AS25" s="186" t="s">
        <v>230</v>
      </c>
      <c r="AT25" s="187" t="s">
        <v>404</v>
      </c>
      <c r="AU25" s="187">
        <v>1</v>
      </c>
      <c r="AV25" s="188">
        <v>2</v>
      </c>
      <c r="AW25" s="188">
        <v>0</v>
      </c>
      <c r="AX25" s="188">
        <v>1</v>
      </c>
      <c r="AY25" s="188">
        <v>1</v>
      </c>
      <c r="AZ25" s="188">
        <v>0</v>
      </c>
      <c r="BA25" s="188">
        <v>0</v>
      </c>
      <c r="BB25" s="188">
        <v>0</v>
      </c>
      <c r="BC25" s="188">
        <v>4</v>
      </c>
      <c r="BD25" s="188">
        <v>1</v>
      </c>
      <c r="BE25" s="188">
        <v>3</v>
      </c>
      <c r="BF25" s="187" t="s">
        <v>331</v>
      </c>
      <c r="BG25" s="187" t="s">
        <v>177</v>
      </c>
      <c r="BH25" s="187" t="s">
        <v>358</v>
      </c>
      <c r="BI25" s="187" t="s">
        <v>376</v>
      </c>
      <c r="BJ25" s="187" t="s">
        <v>130</v>
      </c>
      <c r="BK25" s="187" t="s">
        <v>334</v>
      </c>
      <c r="BL25" s="187" t="s">
        <v>145</v>
      </c>
      <c r="BM25" s="187" t="s">
        <v>127</v>
      </c>
      <c r="BN25" s="187" t="s">
        <v>211</v>
      </c>
      <c r="BO25" s="187" t="s">
        <v>74</v>
      </c>
      <c r="BP25" s="187" t="s">
        <v>75</v>
      </c>
      <c r="BQ25" s="187" t="s">
        <v>317</v>
      </c>
      <c r="BR25" s="195" t="s">
        <v>692</v>
      </c>
      <c r="BU25" s="261" t="s">
        <v>566</v>
      </c>
      <c r="BV25" s="259" t="s">
        <v>567</v>
      </c>
      <c r="BW25" s="259" t="s">
        <v>570</v>
      </c>
      <c r="BX25" s="259" t="s">
        <v>570</v>
      </c>
      <c r="BY25" s="259" t="s">
        <v>538</v>
      </c>
      <c r="BZ25" s="259" t="s">
        <v>546</v>
      </c>
      <c r="CA25" s="259" t="s">
        <v>571</v>
      </c>
      <c r="CB25" s="259" t="s">
        <v>554</v>
      </c>
      <c r="CC25" s="259"/>
      <c r="CD25" s="259"/>
      <c r="CE25" s="260"/>
      <c r="CF25" s="275">
        <v>0</v>
      </c>
      <c r="CG25" s="260" t="s">
        <v>3</v>
      </c>
      <c r="CH25" s="275" t="str">
        <f t="shared" si="2"/>
        <v>Inoffensif</v>
      </c>
      <c r="CI25" s="228" t="str">
        <f t="shared" si="3"/>
        <v>Mêlée (Bagarre)</v>
      </c>
    </row>
    <row r="26" spans="3:106" ht="18">
      <c r="C26" t="str">
        <f>VLOOKUP($C$1,$D$2:$AL$6,26,FALSE)</f>
        <v>Connaissance (Reikland)</v>
      </c>
      <c r="T26" s="6" t="s">
        <v>140</v>
      </c>
      <c r="U26" s="7" t="s">
        <v>10</v>
      </c>
      <c r="W26" s="64" t="s">
        <v>189</v>
      </c>
      <c r="X26" s="65" t="s">
        <v>10</v>
      </c>
      <c r="Z26" s="6" t="s">
        <v>92</v>
      </c>
      <c r="AA26" s="7" t="s">
        <v>123</v>
      </c>
      <c r="AG26"/>
      <c r="AQ26" s="6" t="s">
        <v>37</v>
      </c>
      <c r="AR26" s="5" t="s">
        <v>271</v>
      </c>
      <c r="AS26" s="186" t="s">
        <v>37</v>
      </c>
      <c r="AT26" s="187" t="s">
        <v>405</v>
      </c>
      <c r="AU26" s="187">
        <v>1</v>
      </c>
      <c r="AV26" s="188">
        <v>1</v>
      </c>
      <c r="AW26" s="188">
        <v>0</v>
      </c>
      <c r="AX26" s="188">
        <v>0</v>
      </c>
      <c r="AY26" s="188">
        <v>0</v>
      </c>
      <c r="AZ26" s="189">
        <v>0</v>
      </c>
      <c r="BA26" s="189">
        <v>1</v>
      </c>
      <c r="BB26" s="189">
        <v>1</v>
      </c>
      <c r="BC26" s="188">
        <v>3</v>
      </c>
      <c r="BD26" s="188">
        <v>4</v>
      </c>
      <c r="BE26" s="188">
        <v>2</v>
      </c>
      <c r="BF26" s="187" t="s">
        <v>859</v>
      </c>
      <c r="BG26" s="187" t="s">
        <v>292</v>
      </c>
      <c r="BH26" s="187" t="s">
        <v>383</v>
      </c>
      <c r="BI26" s="187" t="s">
        <v>105</v>
      </c>
      <c r="BJ26" s="187" t="s">
        <v>135</v>
      </c>
      <c r="BK26" s="187" t="s">
        <v>145</v>
      </c>
      <c r="BL26" s="187" t="s">
        <v>140</v>
      </c>
      <c r="BM26" s="187" t="s">
        <v>139</v>
      </c>
      <c r="BN26" s="187" t="s">
        <v>125</v>
      </c>
      <c r="BO26" s="187" t="s">
        <v>767</v>
      </c>
      <c r="BP26" s="187" t="s">
        <v>323</v>
      </c>
      <c r="BQ26" s="187" t="s">
        <v>320</v>
      </c>
      <c r="BR26" s="195" t="s">
        <v>772</v>
      </c>
      <c r="BU26" s="261" t="s">
        <v>566</v>
      </c>
      <c r="BV26" s="259" t="s">
        <v>568</v>
      </c>
      <c r="BW26" s="259" t="s">
        <v>569</v>
      </c>
      <c r="BX26" s="259" t="s">
        <v>570</v>
      </c>
      <c r="BY26" s="259" t="s">
        <v>521</v>
      </c>
      <c r="BZ26" s="259" t="s">
        <v>546</v>
      </c>
      <c r="CA26" s="259" t="s">
        <v>550</v>
      </c>
      <c r="CB26" s="259" t="s">
        <v>247</v>
      </c>
      <c r="CC26" s="227"/>
      <c r="CD26" s="227"/>
      <c r="CE26" s="260"/>
      <c r="CF26" s="275">
        <v>2</v>
      </c>
      <c r="CG26" s="260" t="s">
        <v>3</v>
      </c>
      <c r="CH26" s="275" t="str">
        <f t="shared" si="2"/>
        <v xml:space="preserve"> </v>
      </c>
      <c r="CI26" s="228" t="str">
        <f t="shared" si="3"/>
        <v>Mêlée (Bagarre)</v>
      </c>
    </row>
    <row r="27" spans="3:106" ht="18.75" thickBot="1">
      <c r="C27" t="str">
        <f>VLOOKUP($C$1,$D$2:$AL$6,27,FALSE)</f>
        <v>Mêlée (base)</v>
      </c>
      <c r="T27" s="6" t="s">
        <v>126</v>
      </c>
      <c r="U27" s="7" t="s">
        <v>12</v>
      </c>
      <c r="W27" s="64" t="s">
        <v>192</v>
      </c>
      <c r="X27" s="65" t="s">
        <v>10</v>
      </c>
      <c r="Z27" s="6" t="s">
        <v>93</v>
      </c>
      <c r="AA27" s="7" t="s">
        <v>172</v>
      </c>
      <c r="AG27"/>
      <c r="AQ27" s="6" t="s">
        <v>38</v>
      </c>
      <c r="AR27" s="5" t="s">
        <v>271</v>
      </c>
      <c r="AS27" s="186" t="s">
        <v>228</v>
      </c>
      <c r="AT27" s="187" t="s">
        <v>404</v>
      </c>
      <c r="AU27" s="187">
        <v>1</v>
      </c>
      <c r="AV27" s="188">
        <v>0</v>
      </c>
      <c r="AW27" s="188">
        <v>0</v>
      </c>
      <c r="AX27" s="188">
        <v>1</v>
      </c>
      <c r="AY27" s="188">
        <v>1</v>
      </c>
      <c r="AZ27" s="188">
        <v>1</v>
      </c>
      <c r="BA27" s="188">
        <v>2</v>
      </c>
      <c r="BB27" s="188">
        <v>0</v>
      </c>
      <c r="BC27" s="188">
        <v>3</v>
      </c>
      <c r="BD27" s="188">
        <v>0</v>
      </c>
      <c r="BE27" s="188">
        <v>4</v>
      </c>
      <c r="BF27" s="187" t="s">
        <v>371</v>
      </c>
      <c r="BG27" s="187" t="s">
        <v>363</v>
      </c>
      <c r="BH27" s="187" t="s">
        <v>384</v>
      </c>
      <c r="BI27" s="187" t="s">
        <v>114</v>
      </c>
      <c r="BJ27" s="187" t="s">
        <v>130</v>
      </c>
      <c r="BK27" s="187" t="s">
        <v>72</v>
      </c>
      <c r="BL27" s="187" t="s">
        <v>134</v>
      </c>
      <c r="BM27" s="187" t="s">
        <v>138</v>
      </c>
      <c r="BN27" s="187" t="s">
        <v>211</v>
      </c>
      <c r="BO27" s="187" t="s">
        <v>74</v>
      </c>
      <c r="BP27" s="187" t="s">
        <v>75</v>
      </c>
      <c r="BQ27" s="187" t="s">
        <v>319</v>
      </c>
      <c r="BR27" s="195" t="s">
        <v>773</v>
      </c>
      <c r="BU27" s="261" t="s">
        <v>572</v>
      </c>
      <c r="BV27" s="259" t="s">
        <v>573</v>
      </c>
      <c r="BW27" s="259" t="s">
        <v>578</v>
      </c>
      <c r="BX27" s="259" t="s">
        <v>582</v>
      </c>
      <c r="BY27" s="259" t="s">
        <v>583</v>
      </c>
      <c r="BZ27" s="259" t="s">
        <v>547</v>
      </c>
      <c r="CA27" s="259" t="s">
        <v>552</v>
      </c>
      <c r="CB27" s="259" t="s">
        <v>739</v>
      </c>
      <c r="CC27" s="259" t="s">
        <v>709</v>
      </c>
      <c r="CD27" s="259"/>
      <c r="CE27" s="260"/>
      <c r="CF27" s="275">
        <v>5</v>
      </c>
      <c r="CG27" s="260" t="s">
        <v>3</v>
      </c>
      <c r="CH27" s="275" t="str">
        <f t="shared" si="2"/>
        <v>Dévastatrice, Défense</v>
      </c>
      <c r="CI27" s="228" t="str">
        <f t="shared" si="3"/>
        <v>Mêlée (Deux mains)</v>
      </c>
    </row>
    <row r="28" spans="3:106" ht="18.75" thickBot="1">
      <c r="C28" t="str">
        <f>VLOOKUP($C$1,$D$2:$AL$6,28,FALSE)</f>
        <v>A Distance (Arc)</v>
      </c>
      <c r="T28" s="6" t="s">
        <v>184</v>
      </c>
      <c r="U28" s="7" t="s">
        <v>3</v>
      </c>
      <c r="W28" s="64" t="s">
        <v>175</v>
      </c>
      <c r="X28" s="65" t="s">
        <v>10</v>
      </c>
      <c r="Z28" s="6" t="s">
        <v>94</v>
      </c>
      <c r="AA28" s="7" t="s">
        <v>108</v>
      </c>
      <c r="AG28"/>
      <c r="AQ28" s="6" t="s">
        <v>64</v>
      </c>
      <c r="AR28" s="5" t="s">
        <v>272</v>
      </c>
      <c r="AS28" s="186" t="s">
        <v>263</v>
      </c>
      <c r="AT28" s="187" t="s">
        <v>404</v>
      </c>
      <c r="AU28" s="187">
        <v>2</v>
      </c>
      <c r="AV28" s="188">
        <v>1</v>
      </c>
      <c r="AW28" s="188">
        <v>2</v>
      </c>
      <c r="AX28" s="188">
        <v>1</v>
      </c>
      <c r="AY28" s="188">
        <v>0</v>
      </c>
      <c r="AZ28" s="189">
        <v>1</v>
      </c>
      <c r="BA28" s="189">
        <v>3</v>
      </c>
      <c r="BB28" s="189">
        <v>0</v>
      </c>
      <c r="BC28" s="188">
        <v>0</v>
      </c>
      <c r="BD28" s="188">
        <v>0</v>
      </c>
      <c r="BE28" s="188">
        <v>4</v>
      </c>
      <c r="BF28" s="187" t="s">
        <v>388</v>
      </c>
      <c r="BG28" s="187" t="s">
        <v>386</v>
      </c>
      <c r="BH28" s="187" t="s">
        <v>385</v>
      </c>
      <c r="BI28" s="187" t="s">
        <v>387</v>
      </c>
      <c r="BJ28" s="187" t="s">
        <v>506</v>
      </c>
      <c r="BK28" s="187" t="s">
        <v>334</v>
      </c>
      <c r="BL28" s="187" t="s">
        <v>211</v>
      </c>
      <c r="BM28" s="187" t="s">
        <v>686</v>
      </c>
      <c r="BN28" s="187" t="s">
        <v>184</v>
      </c>
      <c r="BO28" s="187" t="s">
        <v>146</v>
      </c>
      <c r="BP28" s="187" t="s">
        <v>75</v>
      </c>
      <c r="BQ28" s="187" t="s">
        <v>685</v>
      </c>
      <c r="BR28" s="195" t="s">
        <v>835</v>
      </c>
      <c r="BU28" s="261" t="s">
        <v>572</v>
      </c>
      <c r="BV28" s="259" t="s">
        <v>574</v>
      </c>
      <c r="BW28" s="259" t="s">
        <v>579</v>
      </c>
      <c r="BX28" s="259" t="s">
        <v>582</v>
      </c>
      <c r="BY28" s="259" t="s">
        <v>583</v>
      </c>
      <c r="BZ28" s="259" t="s">
        <v>547</v>
      </c>
      <c r="CA28" s="259" t="s">
        <v>553</v>
      </c>
      <c r="CB28" s="259" t="s">
        <v>740</v>
      </c>
      <c r="CC28" s="259" t="s">
        <v>745</v>
      </c>
      <c r="CD28" s="259" t="s">
        <v>428</v>
      </c>
      <c r="CE28" s="260"/>
      <c r="CF28" s="275">
        <v>6</v>
      </c>
      <c r="CG28" s="260" t="s">
        <v>3</v>
      </c>
      <c r="CH28" s="275" t="str">
        <f t="shared" si="2"/>
        <v>Epuisante, Percutante, Taille</v>
      </c>
      <c r="CI28" s="228" t="str">
        <f t="shared" si="3"/>
        <v>Mêlée (Deux mains)</v>
      </c>
      <c r="CP28" s="24"/>
      <c r="CQ28" s="295" t="s">
        <v>75</v>
      </c>
      <c r="CR28" s="226" t="s">
        <v>809</v>
      </c>
      <c r="CS28" s="226" t="s">
        <v>810</v>
      </c>
      <c r="CT28" s="226" t="s">
        <v>811</v>
      </c>
      <c r="CU28" s="226" t="s">
        <v>812</v>
      </c>
      <c r="CV28" s="226" t="s">
        <v>813</v>
      </c>
      <c r="CW28" s="253"/>
    </row>
    <row r="29" spans="3:106" ht="18">
      <c r="C29" t="str">
        <f>VLOOKUP($C$1,$D$2:$AL$6,29,FALSE)</f>
        <v>Destinée</v>
      </c>
      <c r="T29" s="6" t="s">
        <v>142</v>
      </c>
      <c r="U29" s="7" t="s">
        <v>10</v>
      </c>
      <c r="W29" s="62" t="s">
        <v>319</v>
      </c>
      <c r="X29" s="65" t="s">
        <v>7</v>
      </c>
      <c r="Z29" s="6" t="s">
        <v>98</v>
      </c>
      <c r="AA29" s="7" t="s">
        <v>112</v>
      </c>
      <c r="AG29"/>
      <c r="AQ29" s="6" t="s">
        <v>66</v>
      </c>
      <c r="AR29" s="5" t="s">
        <v>272</v>
      </c>
      <c r="AS29" s="186" t="s">
        <v>265</v>
      </c>
      <c r="AT29" s="187" t="s">
        <v>404</v>
      </c>
      <c r="AU29" s="187">
        <v>3</v>
      </c>
      <c r="AV29" s="188">
        <v>2</v>
      </c>
      <c r="AW29" s="188">
        <v>0</v>
      </c>
      <c r="AX29" s="188">
        <v>1</v>
      </c>
      <c r="AY29" s="188">
        <v>0</v>
      </c>
      <c r="AZ29" s="188">
        <v>1</v>
      </c>
      <c r="BA29" s="188">
        <v>1</v>
      </c>
      <c r="BB29" s="188">
        <v>0</v>
      </c>
      <c r="BC29" s="188">
        <v>0</v>
      </c>
      <c r="BD29" s="188">
        <v>3</v>
      </c>
      <c r="BE29" s="188">
        <v>4</v>
      </c>
      <c r="BF29" s="187" t="s">
        <v>858</v>
      </c>
      <c r="BG29" s="187" t="s">
        <v>387</v>
      </c>
      <c r="BH29" s="187" t="s">
        <v>114</v>
      </c>
      <c r="BI29" s="187" t="s">
        <v>123</v>
      </c>
      <c r="BJ29" s="187" t="s">
        <v>130</v>
      </c>
      <c r="BK29" s="187" t="s">
        <v>506</v>
      </c>
      <c r="BL29" s="187" t="s">
        <v>334</v>
      </c>
      <c r="BM29" s="187" t="s">
        <v>345</v>
      </c>
      <c r="BN29" s="187" t="s">
        <v>767</v>
      </c>
      <c r="BO29" s="187" t="s">
        <v>324</v>
      </c>
      <c r="BP29" s="187" t="s">
        <v>685</v>
      </c>
      <c r="BQ29" s="187" t="s">
        <v>311</v>
      </c>
      <c r="BR29" s="195" t="s">
        <v>843</v>
      </c>
      <c r="BU29" s="261" t="s">
        <v>572</v>
      </c>
      <c r="BV29" s="259" t="s">
        <v>575</v>
      </c>
      <c r="BW29" s="259" t="s">
        <v>542</v>
      </c>
      <c r="BX29" s="259" t="s">
        <v>582</v>
      </c>
      <c r="BY29" s="259" t="s">
        <v>521</v>
      </c>
      <c r="BZ29" s="259" t="s">
        <v>522</v>
      </c>
      <c r="CA29" s="259" t="s">
        <v>553</v>
      </c>
      <c r="CB29" s="259" t="s">
        <v>741</v>
      </c>
      <c r="CC29" s="259" t="s">
        <v>746</v>
      </c>
      <c r="CD29" s="259" t="s">
        <v>713</v>
      </c>
      <c r="CE29" s="260"/>
      <c r="CF29" s="275">
        <v>6</v>
      </c>
      <c r="CG29" s="260" t="s">
        <v>3</v>
      </c>
      <c r="CH29" s="275" t="str">
        <f t="shared" si="2"/>
        <v>Assomante, Dévastatrice,  Lente</v>
      </c>
      <c r="CI29" s="228" t="str">
        <f t="shared" si="3"/>
        <v>Mêlée (Deux mains)</v>
      </c>
      <c r="CP29" s="23" t="s">
        <v>796</v>
      </c>
      <c r="CQ29" s="77"/>
      <c r="CR29" s="76"/>
      <c r="CS29" s="76">
        <v>1</v>
      </c>
      <c r="CT29" s="76"/>
      <c r="CU29" s="76"/>
      <c r="CV29" s="76"/>
      <c r="CW29" s="14" t="s">
        <v>814</v>
      </c>
    </row>
    <row r="30" spans="3:106" ht="18">
      <c r="C30" t="str">
        <f>VLOOKUP($C$1,$D$2:$AL$6,30,FALSE)</f>
        <v>Intelligent ou Charmant</v>
      </c>
      <c r="T30" s="6" t="s">
        <v>143</v>
      </c>
      <c r="U30" s="7" t="s">
        <v>5</v>
      </c>
      <c r="W30" s="64" t="s">
        <v>669</v>
      </c>
      <c r="X30" s="65" t="s">
        <v>7</v>
      </c>
      <c r="Z30" s="6" t="s">
        <v>100</v>
      </c>
      <c r="AA30" s="7" t="s">
        <v>170</v>
      </c>
      <c r="AG30"/>
      <c r="AQ30" s="6" t="s">
        <v>65</v>
      </c>
      <c r="AR30" s="5" t="s">
        <v>272</v>
      </c>
      <c r="AS30" s="186" t="s">
        <v>264</v>
      </c>
      <c r="AT30" s="187" t="s">
        <v>404</v>
      </c>
      <c r="AU30" s="187">
        <v>1</v>
      </c>
      <c r="AV30" s="188">
        <v>1</v>
      </c>
      <c r="AW30" s="188">
        <v>0</v>
      </c>
      <c r="AX30" s="188">
        <v>3</v>
      </c>
      <c r="AY30" s="188">
        <v>1</v>
      </c>
      <c r="AZ30" s="189">
        <v>1</v>
      </c>
      <c r="BA30" s="189">
        <v>2</v>
      </c>
      <c r="BB30" s="189">
        <v>0</v>
      </c>
      <c r="BC30" s="188">
        <v>4</v>
      </c>
      <c r="BD30" s="188">
        <v>0</v>
      </c>
      <c r="BE30" s="188">
        <v>0</v>
      </c>
      <c r="BF30" s="187" t="s">
        <v>368</v>
      </c>
      <c r="BG30" s="187" t="s">
        <v>880</v>
      </c>
      <c r="BH30" s="187" t="s">
        <v>376</v>
      </c>
      <c r="BI30" s="187" t="s">
        <v>357</v>
      </c>
      <c r="BJ30" s="187" t="s">
        <v>145</v>
      </c>
      <c r="BK30" s="187" t="s">
        <v>211</v>
      </c>
      <c r="BL30" s="187" t="s">
        <v>849</v>
      </c>
      <c r="BM30" s="187" t="s">
        <v>140</v>
      </c>
      <c r="BN30" s="187" t="s">
        <v>133</v>
      </c>
      <c r="BO30" s="187" t="s">
        <v>74</v>
      </c>
      <c r="BP30" s="187" t="s">
        <v>184</v>
      </c>
      <c r="BQ30" s="187" t="s">
        <v>75</v>
      </c>
      <c r="BR30" s="195" t="s">
        <v>830</v>
      </c>
      <c r="BU30" s="261" t="s">
        <v>572</v>
      </c>
      <c r="BV30" s="259" t="s">
        <v>576</v>
      </c>
      <c r="BW30" s="259" t="s">
        <v>580</v>
      </c>
      <c r="BX30" s="259" t="s">
        <v>582</v>
      </c>
      <c r="BY30" s="259" t="s">
        <v>521</v>
      </c>
      <c r="BZ30" s="259" t="s">
        <v>522</v>
      </c>
      <c r="CA30" s="259" t="s">
        <v>552</v>
      </c>
      <c r="CB30" s="259" t="s">
        <v>739</v>
      </c>
      <c r="CC30" s="259" t="s">
        <v>747</v>
      </c>
      <c r="CD30" s="259" t="s">
        <v>713</v>
      </c>
      <c r="CE30" s="260"/>
      <c r="CF30" s="275">
        <v>5</v>
      </c>
      <c r="CG30" s="260" t="s">
        <v>3</v>
      </c>
      <c r="CH30" s="275" t="str">
        <f t="shared" si="2"/>
        <v>Dévastatrice, Empaleuse,  Lente</v>
      </c>
      <c r="CI30" s="228" t="str">
        <f t="shared" si="3"/>
        <v>Mêlée (Deux mains)</v>
      </c>
      <c r="CP30" s="21" t="s">
        <v>797</v>
      </c>
      <c r="CQ30" s="26"/>
      <c r="CR30" s="5"/>
      <c r="CS30" s="5"/>
      <c r="CT30" s="5"/>
      <c r="CU30" s="5"/>
      <c r="CV30" s="5"/>
      <c r="CW30" s="7"/>
    </row>
    <row r="31" spans="3:106" ht="18">
      <c r="C31" t="str">
        <f ca="1">VLOOKUP($C$1,$D$2:$AL$6,31,FALSE)</f>
        <v>Ton Parfait</v>
      </c>
      <c r="T31" s="6" t="s">
        <v>145</v>
      </c>
      <c r="U31" s="7" t="s">
        <v>5</v>
      </c>
      <c r="W31" s="64" t="s">
        <v>313</v>
      </c>
      <c r="X31" s="65" t="s">
        <v>7</v>
      </c>
      <c r="Z31" s="6" t="s">
        <v>102</v>
      </c>
      <c r="AA31" s="7" t="s">
        <v>105</v>
      </c>
      <c r="AG31"/>
      <c r="AQ31" s="6" t="s">
        <v>67</v>
      </c>
      <c r="AR31" s="5" t="s">
        <v>272</v>
      </c>
      <c r="AS31" s="186" t="s">
        <v>266</v>
      </c>
      <c r="AT31" s="187" t="s">
        <v>403</v>
      </c>
      <c r="AU31" s="187">
        <v>4</v>
      </c>
      <c r="AV31" s="188">
        <v>1</v>
      </c>
      <c r="AW31" s="188">
        <v>0</v>
      </c>
      <c r="AX31" s="188">
        <v>1</v>
      </c>
      <c r="AY31" s="188">
        <v>1</v>
      </c>
      <c r="AZ31" s="188">
        <v>3</v>
      </c>
      <c r="BA31" s="188">
        <v>2</v>
      </c>
      <c r="BB31" s="188">
        <v>0</v>
      </c>
      <c r="BC31" s="188">
        <v>0</v>
      </c>
      <c r="BD31" s="188">
        <v>0</v>
      </c>
      <c r="BE31" s="188">
        <v>4</v>
      </c>
      <c r="BF31" s="187" t="s">
        <v>391</v>
      </c>
      <c r="BG31" s="187" t="s">
        <v>392</v>
      </c>
      <c r="BH31" s="187" t="s">
        <v>389</v>
      </c>
      <c r="BI31" s="187" t="s">
        <v>390</v>
      </c>
      <c r="BJ31" s="187" t="s">
        <v>130</v>
      </c>
      <c r="BK31" s="187" t="s">
        <v>127</v>
      </c>
      <c r="BL31" s="187" t="s">
        <v>138</v>
      </c>
      <c r="BM31" s="187" t="s">
        <v>211</v>
      </c>
      <c r="BN31" s="187" t="s">
        <v>140</v>
      </c>
      <c r="BO31" s="187" t="s">
        <v>139</v>
      </c>
      <c r="BP31" s="187" t="s">
        <v>322</v>
      </c>
      <c r="BQ31" s="187" t="s">
        <v>684</v>
      </c>
      <c r="BR31" s="195" t="s">
        <v>822</v>
      </c>
      <c r="BU31" s="261" t="s">
        <v>572</v>
      </c>
      <c r="BV31" s="259" t="s">
        <v>577</v>
      </c>
      <c r="BW31" s="259" t="s">
        <v>581</v>
      </c>
      <c r="BX31" s="259" t="s">
        <v>582</v>
      </c>
      <c r="BY31" s="259" t="s">
        <v>583</v>
      </c>
      <c r="BZ31" s="259" t="s">
        <v>547</v>
      </c>
      <c r="CA31" s="259" t="s">
        <v>552</v>
      </c>
      <c r="CB31" s="259" t="s">
        <v>739</v>
      </c>
      <c r="CC31" s="259" t="s">
        <v>708</v>
      </c>
      <c r="CD31" s="259"/>
      <c r="CE31" s="260"/>
      <c r="CF31" s="275">
        <v>5</v>
      </c>
      <c r="CG31" s="260" t="s">
        <v>3</v>
      </c>
      <c r="CH31" s="275" t="str">
        <f t="shared" si="2"/>
        <v>Dévastatrice, Taille</v>
      </c>
      <c r="CI31" s="228" t="str">
        <f t="shared" si="3"/>
        <v>Mêlée (Deux mains)</v>
      </c>
      <c r="CP31" s="21" t="s">
        <v>807</v>
      </c>
      <c r="CQ31" s="26"/>
      <c r="CR31" s="5"/>
      <c r="CS31" s="5"/>
      <c r="CT31" s="5"/>
      <c r="CU31" s="5"/>
      <c r="CV31" s="5"/>
      <c r="CW31" s="7"/>
    </row>
    <row r="32" spans="3:106" ht="18">
      <c r="C32" t="str">
        <f ca="1">VLOOKUP($C$1,$D$2:$AL$6,32,FALSE)</f>
        <v>Tireur de précision</v>
      </c>
      <c r="T32" s="6" t="s">
        <v>146</v>
      </c>
      <c r="U32" s="7" t="s">
        <v>10</v>
      </c>
      <c r="W32" s="64" t="s">
        <v>668</v>
      </c>
      <c r="X32" s="65" t="s">
        <v>7</v>
      </c>
      <c r="Z32" s="6" t="s">
        <v>104</v>
      </c>
      <c r="AA32" s="7" t="s">
        <v>677</v>
      </c>
      <c r="AG32"/>
      <c r="AQ32" s="6" t="s">
        <v>282</v>
      </c>
      <c r="AR32" s="5" t="s">
        <v>272</v>
      </c>
      <c r="AS32" s="186" t="s">
        <v>267</v>
      </c>
      <c r="AT32" s="187" t="s">
        <v>403</v>
      </c>
      <c r="AU32" s="187">
        <v>2</v>
      </c>
      <c r="AV32" s="188">
        <v>1</v>
      </c>
      <c r="AW32" s="188">
        <v>3</v>
      </c>
      <c r="AX32" s="188">
        <v>0</v>
      </c>
      <c r="AY32" s="188">
        <v>1</v>
      </c>
      <c r="AZ32" s="189">
        <v>1</v>
      </c>
      <c r="BA32" s="189">
        <v>2</v>
      </c>
      <c r="BB32" s="189">
        <v>0</v>
      </c>
      <c r="BC32" s="188">
        <v>0</v>
      </c>
      <c r="BD32" s="188">
        <v>0</v>
      </c>
      <c r="BE32" s="188">
        <v>4</v>
      </c>
      <c r="BF32" s="187" t="s">
        <v>392</v>
      </c>
      <c r="BG32" s="187" t="s">
        <v>391</v>
      </c>
      <c r="BH32" s="187" t="s">
        <v>331</v>
      </c>
      <c r="BI32" s="187" t="s">
        <v>123</v>
      </c>
      <c r="BJ32" s="187" t="s">
        <v>130</v>
      </c>
      <c r="BK32" s="187" t="s">
        <v>138</v>
      </c>
      <c r="BL32" s="187" t="s">
        <v>211</v>
      </c>
      <c r="BM32" s="187" t="s">
        <v>356</v>
      </c>
      <c r="BN32" s="187" t="s">
        <v>133</v>
      </c>
      <c r="BO32" s="187" t="s">
        <v>126</v>
      </c>
      <c r="BP32" s="187" t="s">
        <v>139</v>
      </c>
      <c r="BQ32" s="187" t="s">
        <v>322</v>
      </c>
      <c r="BR32" s="195" t="s">
        <v>823</v>
      </c>
      <c r="BU32" s="261" t="s">
        <v>586</v>
      </c>
      <c r="BV32" s="259" t="s">
        <v>587</v>
      </c>
      <c r="BW32" s="259" t="s">
        <v>589</v>
      </c>
      <c r="BX32" s="259" t="s">
        <v>590</v>
      </c>
      <c r="BY32" s="259" t="s">
        <v>583</v>
      </c>
      <c r="BZ32" s="259" t="s">
        <v>522</v>
      </c>
      <c r="CA32" s="259" t="s">
        <v>551</v>
      </c>
      <c r="CB32" s="259" t="s">
        <v>737</v>
      </c>
      <c r="CC32" s="259" t="s">
        <v>747</v>
      </c>
      <c r="CD32" s="259" t="s">
        <v>750</v>
      </c>
      <c r="CE32" s="276" t="s">
        <v>715</v>
      </c>
      <c r="CF32" s="275">
        <v>3</v>
      </c>
      <c r="CG32" s="260" t="s">
        <v>3</v>
      </c>
      <c r="CH32" s="275" t="str">
        <f t="shared" si="2"/>
        <v>Rapide, Empaleuse,  Pointue,  Innofensive</v>
      </c>
      <c r="CI32" s="228" t="str">
        <f t="shared" si="3"/>
        <v>Mêlée (Escrime)</v>
      </c>
      <c r="CP32" s="21" t="s">
        <v>798</v>
      </c>
      <c r="CQ32" s="26"/>
      <c r="CR32" s="5"/>
      <c r="CS32" s="5"/>
      <c r="CT32" s="5">
        <v>1</v>
      </c>
      <c r="CU32" s="5"/>
      <c r="CV32" s="5"/>
      <c r="CW32" s="7"/>
    </row>
    <row r="33" spans="3:101" ht="18">
      <c r="C33" t="str">
        <f ca="1">VLOOKUP($C$1,$D$2:$AL$6,33,FALSE)</f>
        <v>Intelligent</v>
      </c>
      <c r="T33" s="6" t="s">
        <v>72</v>
      </c>
      <c r="U33" s="7" t="s">
        <v>6</v>
      </c>
      <c r="W33" s="62" t="s">
        <v>674</v>
      </c>
      <c r="X33" s="65" t="s">
        <v>7</v>
      </c>
      <c r="Z33" s="6" t="s">
        <v>106</v>
      </c>
      <c r="AA33" s="7" t="s">
        <v>99</v>
      </c>
      <c r="AG33"/>
      <c r="AQ33" s="6" t="s">
        <v>70</v>
      </c>
      <c r="AR33" s="5" t="s">
        <v>272</v>
      </c>
      <c r="AS33" s="186" t="s">
        <v>269</v>
      </c>
      <c r="AT33" s="187" t="s">
        <v>403</v>
      </c>
      <c r="AU33" s="187">
        <v>2</v>
      </c>
      <c r="AV33" s="188">
        <v>1</v>
      </c>
      <c r="AW33" s="188">
        <v>0</v>
      </c>
      <c r="AX33" s="188">
        <v>2</v>
      </c>
      <c r="AY33" s="188">
        <v>1</v>
      </c>
      <c r="AZ33" s="188">
        <v>0</v>
      </c>
      <c r="BA33" s="188">
        <v>3</v>
      </c>
      <c r="BB33" s="188">
        <v>0</v>
      </c>
      <c r="BC33" s="188">
        <v>0</v>
      </c>
      <c r="BD33" s="188">
        <v>1</v>
      </c>
      <c r="BE33" s="188">
        <v>4</v>
      </c>
      <c r="BF33" s="187" t="s">
        <v>393</v>
      </c>
      <c r="BG33" s="187" t="s">
        <v>860</v>
      </c>
      <c r="BH33" s="187" t="s">
        <v>105</v>
      </c>
      <c r="BI33" s="187" t="s">
        <v>384</v>
      </c>
      <c r="BJ33" s="187" t="s">
        <v>127</v>
      </c>
      <c r="BK33" s="187" t="s">
        <v>138</v>
      </c>
      <c r="BL33" s="187" t="s">
        <v>211</v>
      </c>
      <c r="BM33" s="187" t="s">
        <v>345</v>
      </c>
      <c r="BN33" s="187" t="s">
        <v>125</v>
      </c>
      <c r="BO33" s="187" t="s">
        <v>765</v>
      </c>
      <c r="BP33" s="187" t="s">
        <v>322</v>
      </c>
      <c r="BQ33" s="187" t="s">
        <v>342</v>
      </c>
      <c r="BR33" s="195" t="s">
        <v>831</v>
      </c>
      <c r="BU33" s="261" t="s">
        <v>586</v>
      </c>
      <c r="BV33" s="259" t="s">
        <v>588</v>
      </c>
      <c r="BW33" s="259" t="s">
        <v>589</v>
      </c>
      <c r="BX33" s="259" t="s">
        <v>590</v>
      </c>
      <c r="BY33" s="259" t="s">
        <v>583</v>
      </c>
      <c r="BZ33" s="259" t="s">
        <v>547</v>
      </c>
      <c r="CA33" s="259" t="s">
        <v>523</v>
      </c>
      <c r="CB33" s="259" t="s">
        <v>737</v>
      </c>
      <c r="CC33" s="259" t="s">
        <v>706</v>
      </c>
      <c r="CD33" s="227"/>
      <c r="CE33" s="260"/>
      <c r="CF33" s="275">
        <v>4</v>
      </c>
      <c r="CG33" s="260" t="s">
        <v>3</v>
      </c>
      <c r="CH33" s="275" t="str">
        <f t="shared" si="2"/>
        <v>Rapide, Empaleuse</v>
      </c>
      <c r="CI33" s="228" t="str">
        <f t="shared" si="3"/>
        <v>Mêlée (Escrime)</v>
      </c>
      <c r="CP33" s="21" t="s">
        <v>799</v>
      </c>
      <c r="CQ33" s="26"/>
      <c r="CR33" s="5"/>
      <c r="CS33" s="5"/>
      <c r="CT33" s="5">
        <v>2</v>
      </c>
      <c r="CU33" s="5"/>
      <c r="CV33" s="5"/>
      <c r="CW33" s="7" t="s">
        <v>815</v>
      </c>
    </row>
    <row r="34" spans="3:101" ht="18">
      <c r="C34" t="str">
        <f>VLOOKUP($C$1,$D$2:$AL$6,34,FALSE)</f>
        <v/>
      </c>
      <c r="T34" s="6" t="s">
        <v>187</v>
      </c>
      <c r="U34" s="7" t="s">
        <v>12</v>
      </c>
      <c r="W34" s="62" t="s">
        <v>354</v>
      </c>
      <c r="X34" s="66" t="s">
        <v>12</v>
      </c>
      <c r="Z34" s="6" t="s">
        <v>107</v>
      </c>
      <c r="AA34" s="7" t="s">
        <v>328</v>
      </c>
      <c r="AG34"/>
      <c r="AQ34" s="6" t="s">
        <v>69</v>
      </c>
      <c r="AR34" s="5" t="s">
        <v>272</v>
      </c>
      <c r="AS34" s="186" t="s">
        <v>268</v>
      </c>
      <c r="AT34" s="187" t="s">
        <v>404</v>
      </c>
      <c r="AU34" s="187">
        <v>1</v>
      </c>
      <c r="AV34" s="188">
        <v>1</v>
      </c>
      <c r="AW34" s="188">
        <v>2</v>
      </c>
      <c r="AX34" s="188">
        <v>0</v>
      </c>
      <c r="AY34" s="188">
        <v>1</v>
      </c>
      <c r="AZ34" s="189">
        <v>0</v>
      </c>
      <c r="BA34" s="189">
        <v>3</v>
      </c>
      <c r="BB34" s="189">
        <v>0</v>
      </c>
      <c r="BC34" s="188">
        <v>0</v>
      </c>
      <c r="BD34" s="188">
        <v>1</v>
      </c>
      <c r="BE34" s="188">
        <v>4</v>
      </c>
      <c r="BF34" s="187" t="s">
        <v>368</v>
      </c>
      <c r="BG34" s="187" t="s">
        <v>193</v>
      </c>
      <c r="BH34" s="187" t="s">
        <v>363</v>
      </c>
      <c r="BI34" s="187" t="s">
        <v>123</v>
      </c>
      <c r="BJ34" s="187" t="s">
        <v>130</v>
      </c>
      <c r="BK34" s="187" t="s">
        <v>72</v>
      </c>
      <c r="BL34" s="187" t="s">
        <v>127</v>
      </c>
      <c r="BM34" s="187" t="s">
        <v>138</v>
      </c>
      <c r="BN34" s="187" t="s">
        <v>211</v>
      </c>
      <c r="BO34" s="187" t="s">
        <v>686</v>
      </c>
      <c r="BP34" s="187" t="s">
        <v>184</v>
      </c>
      <c r="BQ34" s="187" t="s">
        <v>854</v>
      </c>
      <c r="BR34" s="195" t="s">
        <v>774</v>
      </c>
      <c r="BU34" s="261" t="s">
        <v>592</v>
      </c>
      <c r="BV34" s="259" t="s">
        <v>592</v>
      </c>
      <c r="BW34" s="259" t="s">
        <v>541</v>
      </c>
      <c r="BX34" s="259" t="s">
        <v>590</v>
      </c>
      <c r="BY34" s="259" t="s">
        <v>583</v>
      </c>
      <c r="BZ34" s="259" t="s">
        <v>522</v>
      </c>
      <c r="CA34" s="259" t="s">
        <v>552</v>
      </c>
      <c r="CB34" s="259" t="s">
        <v>742</v>
      </c>
      <c r="CC34" s="259" t="s">
        <v>710</v>
      </c>
      <c r="CD34" s="227"/>
      <c r="CE34" s="260"/>
      <c r="CF34" s="275">
        <v>5</v>
      </c>
      <c r="CG34" s="260" t="s">
        <v>3</v>
      </c>
      <c r="CH34" s="275" t="str">
        <f t="shared" si="2"/>
        <v>Pertubante, A enroulement</v>
      </c>
      <c r="CI34" s="228" t="str">
        <f t="shared" si="3"/>
        <v>Mêlée (Fléau)</v>
      </c>
      <c r="CP34" s="21" t="s">
        <v>800</v>
      </c>
      <c r="CQ34" s="26"/>
      <c r="CR34" s="5"/>
      <c r="CS34" s="5"/>
      <c r="CT34" s="5">
        <v>1</v>
      </c>
      <c r="CU34" s="5"/>
      <c r="CV34" s="5">
        <v>1</v>
      </c>
      <c r="CW34" s="7"/>
    </row>
    <row r="35" spans="3:101" ht="18">
      <c r="C35" t="str">
        <f t="shared" ref="C35:C66" ca="1" si="4">VLOOKUP($C$1,$D$2:$CW$6,ROW(D35),FALSE)</f>
        <v xml:space="preserve">Bailli </v>
      </c>
      <c r="T35" s="6" t="s">
        <v>74</v>
      </c>
      <c r="U35" s="7" t="s">
        <v>8</v>
      </c>
      <c r="W35" s="62" t="s">
        <v>186</v>
      </c>
      <c r="X35" s="66" t="s">
        <v>12</v>
      </c>
      <c r="Z35" s="6" t="s">
        <v>109</v>
      </c>
      <c r="AA35" s="7" t="s">
        <v>678</v>
      </c>
      <c r="AG35"/>
      <c r="AQ35" s="6" t="s">
        <v>68</v>
      </c>
      <c r="AR35" s="5" t="s">
        <v>272</v>
      </c>
      <c r="AS35" s="186" t="s">
        <v>683</v>
      </c>
      <c r="AT35" s="187" t="s">
        <v>403</v>
      </c>
      <c r="AU35" s="187">
        <v>2</v>
      </c>
      <c r="AV35" s="188">
        <v>1</v>
      </c>
      <c r="AW35" s="188">
        <v>0</v>
      </c>
      <c r="AX35" s="188">
        <v>1</v>
      </c>
      <c r="AY35" s="188">
        <v>2</v>
      </c>
      <c r="AZ35" s="188">
        <v>3</v>
      </c>
      <c r="BA35" s="188">
        <v>4</v>
      </c>
      <c r="BB35" s="188">
        <v>0</v>
      </c>
      <c r="BC35" s="188">
        <v>0</v>
      </c>
      <c r="BD35" s="188">
        <v>1</v>
      </c>
      <c r="BE35" s="188">
        <v>0</v>
      </c>
      <c r="BF35" s="187" t="s">
        <v>327</v>
      </c>
      <c r="BG35" s="187" t="s">
        <v>864</v>
      </c>
      <c r="BH35" s="187" t="s">
        <v>394</v>
      </c>
      <c r="BI35" s="187" t="s">
        <v>683</v>
      </c>
      <c r="BJ35" s="187" t="s">
        <v>145</v>
      </c>
      <c r="BK35" s="187" t="s">
        <v>127</v>
      </c>
      <c r="BL35" s="187" t="s">
        <v>138</v>
      </c>
      <c r="BM35" s="187" t="s">
        <v>211</v>
      </c>
      <c r="BN35" s="187" t="s">
        <v>140</v>
      </c>
      <c r="BO35" s="187" t="s">
        <v>345</v>
      </c>
      <c r="BP35" s="187" t="s">
        <v>304</v>
      </c>
      <c r="BQ35" s="187" t="s">
        <v>184</v>
      </c>
      <c r="BR35" s="195" t="s">
        <v>775</v>
      </c>
      <c r="BU35" s="261" t="s">
        <v>592</v>
      </c>
      <c r="BV35" s="259" t="s">
        <v>593</v>
      </c>
      <c r="BW35" s="259" t="s">
        <v>595</v>
      </c>
      <c r="BX35" s="259" t="s">
        <v>590</v>
      </c>
      <c r="BY35" s="259" t="s">
        <v>521</v>
      </c>
      <c r="BZ35" s="259" t="s">
        <v>522</v>
      </c>
      <c r="CA35" s="259" t="s">
        <v>551</v>
      </c>
      <c r="CB35" s="259" t="s">
        <v>742</v>
      </c>
      <c r="CC35" s="259" t="s">
        <v>748</v>
      </c>
      <c r="CD35" s="259" t="s">
        <v>714</v>
      </c>
      <c r="CE35" s="260"/>
      <c r="CF35" s="275">
        <v>3</v>
      </c>
      <c r="CG35" s="260" t="s">
        <v>3</v>
      </c>
      <c r="CH35" s="275" t="str">
        <f t="shared" si="2"/>
        <v>Pertubante, Imprécise,  Enroulement</v>
      </c>
      <c r="CI35" s="228" t="str">
        <f t="shared" si="3"/>
        <v>Mêlée (Fléau)</v>
      </c>
      <c r="CP35" s="21" t="s">
        <v>801</v>
      </c>
      <c r="CQ35" s="26"/>
      <c r="CR35" s="5"/>
      <c r="CS35" s="5"/>
      <c r="CT35" s="5"/>
      <c r="CU35" s="5">
        <v>2</v>
      </c>
      <c r="CV35" s="5"/>
      <c r="CW35" s="7" t="s">
        <v>816</v>
      </c>
    </row>
    <row r="36" spans="3:101" ht="18.75" thickBot="1">
      <c r="C36" t="str">
        <f t="shared" si="4"/>
        <v>Agitateur</v>
      </c>
      <c r="T36" s="8" t="s">
        <v>75</v>
      </c>
      <c r="U36" s="9" t="s">
        <v>8</v>
      </c>
      <c r="W36" s="64" t="s">
        <v>671</v>
      </c>
      <c r="X36" s="66" t="s">
        <v>12</v>
      </c>
      <c r="Z36" s="6" t="s">
        <v>110</v>
      </c>
      <c r="AA36" s="7" t="s">
        <v>169</v>
      </c>
      <c r="AG36"/>
      <c r="AQ36" s="6" t="s">
        <v>48</v>
      </c>
      <c r="AR36" s="5" t="s">
        <v>273</v>
      </c>
      <c r="AS36" s="186" t="s">
        <v>239</v>
      </c>
      <c r="AT36" s="187" t="s">
        <v>404</v>
      </c>
      <c r="AU36" s="187">
        <v>1</v>
      </c>
      <c r="AV36" s="188">
        <v>1</v>
      </c>
      <c r="AW36" s="188">
        <v>2</v>
      </c>
      <c r="AX36" s="188">
        <v>3</v>
      </c>
      <c r="AY36" s="188">
        <v>1</v>
      </c>
      <c r="AZ36" s="189">
        <v>1</v>
      </c>
      <c r="BA36" s="189">
        <v>0</v>
      </c>
      <c r="BB36" s="189">
        <v>0</v>
      </c>
      <c r="BC36" s="188">
        <v>4</v>
      </c>
      <c r="BD36" s="188">
        <v>0</v>
      </c>
      <c r="BE36" s="188">
        <v>0</v>
      </c>
      <c r="BF36" s="187" t="s">
        <v>426</v>
      </c>
      <c r="BG36" s="187" t="s">
        <v>382</v>
      </c>
      <c r="BH36" s="187" t="s">
        <v>376</v>
      </c>
      <c r="BI36" s="187" t="s">
        <v>868</v>
      </c>
      <c r="BJ36" s="187" t="s">
        <v>135</v>
      </c>
      <c r="BK36" s="187" t="s">
        <v>132</v>
      </c>
      <c r="BL36" s="187" t="s">
        <v>133</v>
      </c>
      <c r="BM36" s="187" t="s">
        <v>126</v>
      </c>
      <c r="BN36" s="187" t="s">
        <v>74</v>
      </c>
      <c r="BO36" s="187" t="s">
        <v>184</v>
      </c>
      <c r="BP36" s="187" t="s">
        <v>146</v>
      </c>
      <c r="BQ36" s="187" t="s">
        <v>75</v>
      </c>
      <c r="BR36" s="195" t="s">
        <v>832</v>
      </c>
      <c r="BU36" s="261" t="s">
        <v>592</v>
      </c>
      <c r="BV36" s="259" t="s">
        <v>594</v>
      </c>
      <c r="BW36" s="259" t="s">
        <v>542</v>
      </c>
      <c r="BX36" s="259" t="s">
        <v>596</v>
      </c>
      <c r="BY36" s="259" t="s">
        <v>544</v>
      </c>
      <c r="BZ36" s="259" t="s">
        <v>597</v>
      </c>
      <c r="CA36" s="259" t="s">
        <v>553</v>
      </c>
      <c r="CB36" s="259" t="s">
        <v>742</v>
      </c>
      <c r="CC36" s="259" t="s">
        <v>745</v>
      </c>
      <c r="CD36" s="259" t="s">
        <v>749</v>
      </c>
      <c r="CE36" s="276" t="s">
        <v>710</v>
      </c>
      <c r="CF36" s="275">
        <v>6</v>
      </c>
      <c r="CG36" s="260" t="s">
        <v>3</v>
      </c>
      <c r="CH36" s="275" t="str">
        <f t="shared" si="2"/>
        <v>Pertubante, Percutante,  Epuisante,  A enroulement</v>
      </c>
      <c r="CI36" s="228" t="str">
        <f t="shared" si="3"/>
        <v>Mêlée (Fléau)</v>
      </c>
      <c r="CP36" s="21" t="s">
        <v>802</v>
      </c>
      <c r="CQ36" s="26"/>
      <c r="CR36" s="5"/>
      <c r="CS36" s="5"/>
      <c r="CT36" s="5">
        <v>2</v>
      </c>
      <c r="CU36" s="5"/>
      <c r="CV36" s="5"/>
      <c r="CW36" s="7" t="s">
        <v>816</v>
      </c>
    </row>
    <row r="37" spans="3:101" ht="18">
      <c r="C37" t="str">
        <f t="shared" si="4"/>
        <v>Apothicaire</v>
      </c>
      <c r="W37" s="64" t="s">
        <v>850</v>
      </c>
      <c r="X37" s="66" t="s">
        <v>12</v>
      </c>
      <c r="Z37" s="6" t="s">
        <v>111</v>
      </c>
      <c r="AA37" s="7" t="s">
        <v>95</v>
      </c>
      <c r="AG37"/>
      <c r="AQ37" s="6" t="s">
        <v>157</v>
      </c>
      <c r="AR37" s="5" t="s">
        <v>273</v>
      </c>
      <c r="AS37" s="186" t="s">
        <v>246</v>
      </c>
      <c r="AT37" s="187" t="s">
        <v>404</v>
      </c>
      <c r="AU37" s="187">
        <v>1</v>
      </c>
      <c r="AV37" s="188">
        <v>1</v>
      </c>
      <c r="AW37" s="188">
        <v>2</v>
      </c>
      <c r="AX37" s="188">
        <v>0</v>
      </c>
      <c r="AY37" s="188">
        <v>1</v>
      </c>
      <c r="AZ37" s="188">
        <v>0</v>
      </c>
      <c r="BA37" s="188">
        <v>0</v>
      </c>
      <c r="BB37" s="188">
        <v>0</v>
      </c>
      <c r="BC37" s="188">
        <v>4</v>
      </c>
      <c r="BD37" s="188">
        <v>1</v>
      </c>
      <c r="BE37" s="188">
        <v>3</v>
      </c>
      <c r="BF37" s="187" t="s">
        <v>422</v>
      </c>
      <c r="BG37" s="187" t="s">
        <v>331</v>
      </c>
      <c r="BH37" s="187" t="s">
        <v>105</v>
      </c>
      <c r="BI37" s="187" t="s">
        <v>395</v>
      </c>
      <c r="BJ37" s="187" t="s">
        <v>132</v>
      </c>
      <c r="BK37" s="187" t="s">
        <v>145</v>
      </c>
      <c r="BL37" s="187" t="s">
        <v>345</v>
      </c>
      <c r="BM37" s="187" t="s">
        <v>139</v>
      </c>
      <c r="BN37" s="187" t="s">
        <v>74</v>
      </c>
      <c r="BO37" s="187" t="s">
        <v>305</v>
      </c>
      <c r="BP37" s="187" t="s">
        <v>184</v>
      </c>
      <c r="BQ37" s="187" t="s">
        <v>75</v>
      </c>
      <c r="BR37" s="195" t="s">
        <v>776</v>
      </c>
      <c r="BU37" s="261" t="s">
        <v>598</v>
      </c>
      <c r="BV37" s="259" t="s">
        <v>599</v>
      </c>
      <c r="BW37" s="259" t="s">
        <v>601</v>
      </c>
      <c r="BX37" s="259" t="s">
        <v>590</v>
      </c>
      <c r="BY37" s="259" t="s">
        <v>583</v>
      </c>
      <c r="BZ37" s="259" t="s">
        <v>602</v>
      </c>
      <c r="CA37" s="259" t="s">
        <v>551</v>
      </c>
      <c r="CB37" s="259" t="s">
        <v>738</v>
      </c>
      <c r="CC37" s="259" t="s">
        <v>711</v>
      </c>
      <c r="CD37" s="227"/>
      <c r="CE37" s="260"/>
      <c r="CF37" s="275">
        <v>3</v>
      </c>
      <c r="CG37" s="260" t="s">
        <v>3</v>
      </c>
      <c r="CH37" s="275" t="str">
        <f t="shared" si="2"/>
        <v>Défensive, Piège-lame</v>
      </c>
      <c r="CI37" s="228" t="str">
        <f t="shared" si="3"/>
        <v>Mêlée (Parade)</v>
      </c>
      <c r="CP37" s="21" t="s">
        <v>803</v>
      </c>
      <c r="CQ37" s="298" t="s">
        <v>845</v>
      </c>
      <c r="CR37" s="132"/>
      <c r="CS37" s="5">
        <v>2</v>
      </c>
      <c r="CT37" s="5"/>
      <c r="CU37" s="5"/>
      <c r="CV37" s="5"/>
      <c r="CW37" s="7" t="s">
        <v>817</v>
      </c>
    </row>
    <row r="38" spans="3:101" ht="18.75" thickBot="1">
      <c r="C38" t="str">
        <f t="shared" si="4"/>
        <v xml:space="preserve">Artisan </v>
      </c>
      <c r="W38" s="62" t="s">
        <v>849</v>
      </c>
      <c r="X38" s="66" t="s">
        <v>12</v>
      </c>
      <c r="Z38" s="6" t="s">
        <v>113</v>
      </c>
      <c r="AA38" s="7" t="s">
        <v>672</v>
      </c>
      <c r="AG38"/>
      <c r="AQ38" s="6" t="s">
        <v>49</v>
      </c>
      <c r="AR38" s="5" t="s">
        <v>273</v>
      </c>
      <c r="AS38" s="186" t="s">
        <v>240</v>
      </c>
      <c r="AT38" s="187" t="s">
        <v>404</v>
      </c>
      <c r="AU38" s="187">
        <v>1</v>
      </c>
      <c r="AV38" s="188">
        <v>3</v>
      </c>
      <c r="AW38" s="188">
        <v>1</v>
      </c>
      <c r="AX38" s="188">
        <v>0</v>
      </c>
      <c r="AY38" s="188">
        <v>1</v>
      </c>
      <c r="AZ38" s="189">
        <v>2</v>
      </c>
      <c r="BA38" s="189">
        <v>4</v>
      </c>
      <c r="BB38" s="189">
        <v>0</v>
      </c>
      <c r="BC38" s="188">
        <v>0</v>
      </c>
      <c r="BD38" s="188">
        <v>1</v>
      </c>
      <c r="BE38" s="188">
        <v>0</v>
      </c>
      <c r="BF38" s="187" t="s">
        <v>396</v>
      </c>
      <c r="BG38" s="187" t="s">
        <v>397</v>
      </c>
      <c r="BH38" s="187" t="s">
        <v>398</v>
      </c>
      <c r="BI38" s="187" t="s">
        <v>357</v>
      </c>
      <c r="BJ38" s="187" t="s">
        <v>506</v>
      </c>
      <c r="BK38" s="187" t="s">
        <v>334</v>
      </c>
      <c r="BL38" s="187" t="s">
        <v>72</v>
      </c>
      <c r="BM38" s="187" t="s">
        <v>134</v>
      </c>
      <c r="BN38" s="187" t="s">
        <v>211</v>
      </c>
      <c r="BO38" s="187" t="s">
        <v>75</v>
      </c>
      <c r="BP38" s="187" t="s">
        <v>718</v>
      </c>
      <c r="BQ38" s="187" t="s">
        <v>685</v>
      </c>
      <c r="BR38" s="195" t="s">
        <v>777</v>
      </c>
      <c r="BU38" s="265" t="s">
        <v>598</v>
      </c>
      <c r="BV38" s="263" t="s">
        <v>600</v>
      </c>
      <c r="BW38" s="263" t="s">
        <v>543</v>
      </c>
      <c r="BX38" s="263" t="s">
        <v>570</v>
      </c>
      <c r="BY38" s="263" t="s">
        <v>544</v>
      </c>
      <c r="BZ38" s="263" t="s">
        <v>545</v>
      </c>
      <c r="CA38" s="263" t="s">
        <v>550</v>
      </c>
      <c r="CB38" s="263" t="s">
        <v>738</v>
      </c>
      <c r="CC38" s="263"/>
      <c r="CD38" s="263"/>
      <c r="CE38" s="264"/>
      <c r="CF38" s="277">
        <v>2</v>
      </c>
      <c r="CG38" s="264" t="s">
        <v>3</v>
      </c>
      <c r="CH38" s="277" t="str">
        <f t="shared" si="2"/>
        <v>Défensive,</v>
      </c>
      <c r="CI38" s="230" t="str">
        <f t="shared" si="3"/>
        <v>Mêlée (Parade)</v>
      </c>
      <c r="CP38" s="21" t="s">
        <v>804</v>
      </c>
      <c r="CQ38" s="298"/>
      <c r="CR38" s="132"/>
      <c r="CS38" s="5"/>
      <c r="CT38" s="5">
        <v>2</v>
      </c>
      <c r="CU38" s="5"/>
      <c r="CV38" s="5">
        <v>2</v>
      </c>
      <c r="CW38" s="7" t="s">
        <v>816</v>
      </c>
    </row>
    <row r="39" spans="3:101" ht="18">
      <c r="C39" t="str">
        <f t="shared" si="4"/>
        <v xml:space="preserve">Artiste </v>
      </c>
      <c r="W39" s="64" t="s">
        <v>343</v>
      </c>
      <c r="X39" s="65" t="s">
        <v>10</v>
      </c>
      <c r="Z39" s="6" t="s">
        <v>115</v>
      </c>
      <c r="AA39" s="7" t="s">
        <v>101</v>
      </c>
      <c r="AG39"/>
      <c r="AQ39" s="6" t="s">
        <v>52</v>
      </c>
      <c r="AR39" s="5" t="s">
        <v>273</v>
      </c>
      <c r="AS39" s="186" t="s">
        <v>244</v>
      </c>
      <c r="AT39" s="187" t="s">
        <v>403</v>
      </c>
      <c r="AU39" s="187">
        <v>1</v>
      </c>
      <c r="AV39" s="188">
        <v>0</v>
      </c>
      <c r="AW39" s="188">
        <v>0</v>
      </c>
      <c r="AX39" s="188">
        <v>0</v>
      </c>
      <c r="AY39" s="188">
        <v>1</v>
      </c>
      <c r="AZ39" s="188">
        <v>0</v>
      </c>
      <c r="BA39" s="188">
        <v>3</v>
      </c>
      <c r="BB39" s="188">
        <v>1</v>
      </c>
      <c r="BC39" s="188">
        <v>4</v>
      </c>
      <c r="BD39" s="188">
        <v>1</v>
      </c>
      <c r="BE39" s="188">
        <v>2</v>
      </c>
      <c r="BF39" s="187" t="s">
        <v>415</v>
      </c>
      <c r="BG39" s="187" t="s">
        <v>367</v>
      </c>
      <c r="BH39" s="187" t="s">
        <v>348</v>
      </c>
      <c r="BI39" s="187" t="s">
        <v>857</v>
      </c>
      <c r="BJ39" s="187" t="s">
        <v>132</v>
      </c>
      <c r="BK39" s="187" t="s">
        <v>211</v>
      </c>
      <c r="BL39" s="187" t="s">
        <v>849</v>
      </c>
      <c r="BM39" s="187" t="s">
        <v>133</v>
      </c>
      <c r="BN39" s="187" t="s">
        <v>126</v>
      </c>
      <c r="BO39" s="187" t="s">
        <v>74</v>
      </c>
      <c r="BP39" s="187" t="s">
        <v>146</v>
      </c>
      <c r="BQ39" s="187" t="s">
        <v>669</v>
      </c>
      <c r="BR39" s="195" t="s">
        <v>778</v>
      </c>
      <c r="BU39" s="15"/>
      <c r="BV39" s="15"/>
      <c r="BW39" s="15"/>
      <c r="BX39" s="15"/>
      <c r="BY39" s="15"/>
      <c r="BZ39" s="15"/>
      <c r="CA39" s="15"/>
      <c r="CB39" s="15"/>
      <c r="CC39" s="15"/>
      <c r="CD39" s="15"/>
      <c r="CE39" s="15"/>
      <c r="CF39" s="15"/>
      <c r="CG39" s="15"/>
      <c r="CH39" s="15"/>
      <c r="CI39" s="32"/>
      <c r="CP39" s="21" t="s">
        <v>805</v>
      </c>
      <c r="CQ39" s="298"/>
      <c r="CR39" s="132"/>
      <c r="CS39" s="5"/>
      <c r="CT39" s="5"/>
      <c r="CU39" s="5"/>
      <c r="CV39" s="5">
        <v>2</v>
      </c>
      <c r="CW39" s="7" t="s">
        <v>818</v>
      </c>
    </row>
    <row r="40" spans="3:101" ht="18">
      <c r="C40" t="str">
        <f t="shared" si="4"/>
        <v xml:space="preserve">Bailli </v>
      </c>
      <c r="W40" s="64" t="s">
        <v>211</v>
      </c>
      <c r="X40" s="65" t="s">
        <v>5</v>
      </c>
      <c r="Z40" s="6" t="s">
        <v>117</v>
      </c>
      <c r="AA40" s="7" t="s">
        <v>121</v>
      </c>
      <c r="AG40"/>
      <c r="AQ40" s="6" t="s">
        <v>50</v>
      </c>
      <c r="AR40" s="5" t="s">
        <v>273</v>
      </c>
      <c r="AS40" s="186" t="s">
        <v>50</v>
      </c>
      <c r="AT40" s="187" t="s">
        <v>403</v>
      </c>
      <c r="AU40" s="187">
        <v>0</v>
      </c>
      <c r="AV40" s="188">
        <v>1</v>
      </c>
      <c r="AW40" s="188">
        <v>0</v>
      </c>
      <c r="AX40" s="188">
        <v>1</v>
      </c>
      <c r="AY40" s="188">
        <v>1</v>
      </c>
      <c r="AZ40" s="189">
        <v>0</v>
      </c>
      <c r="BA40" s="189">
        <v>3</v>
      </c>
      <c r="BB40" s="189">
        <v>0</v>
      </c>
      <c r="BC40" s="188">
        <v>0</v>
      </c>
      <c r="BD40" s="188">
        <v>2</v>
      </c>
      <c r="BE40" s="188">
        <v>4</v>
      </c>
      <c r="BF40" s="187" t="s">
        <v>870</v>
      </c>
      <c r="BG40" s="187" t="s">
        <v>394</v>
      </c>
      <c r="BH40" s="187" t="s">
        <v>105</v>
      </c>
      <c r="BI40" s="187" t="s">
        <v>373</v>
      </c>
      <c r="BJ40" s="187" t="s">
        <v>138</v>
      </c>
      <c r="BK40" s="187" t="s">
        <v>211</v>
      </c>
      <c r="BL40" s="187" t="s">
        <v>345</v>
      </c>
      <c r="BM40" s="187" t="s">
        <v>139</v>
      </c>
      <c r="BN40" s="187" t="s">
        <v>74</v>
      </c>
      <c r="BO40" s="187" t="s">
        <v>765</v>
      </c>
      <c r="BP40" s="187" t="s">
        <v>400</v>
      </c>
      <c r="BQ40" s="187" t="s">
        <v>146</v>
      </c>
      <c r="BR40" s="195" t="s">
        <v>779</v>
      </c>
      <c r="BU40" s="15"/>
      <c r="BV40" s="15"/>
      <c r="BW40" s="15"/>
      <c r="BX40" s="15"/>
      <c r="BY40" s="15"/>
      <c r="BZ40" s="278"/>
      <c r="CA40" s="278"/>
      <c r="CB40" s="278"/>
      <c r="CC40" s="278"/>
      <c r="CD40" s="278"/>
      <c r="CE40" s="15"/>
      <c r="CF40" s="15"/>
      <c r="CG40" s="15"/>
      <c r="CH40" s="15" t="str">
        <f t="shared" si="2"/>
        <v/>
      </c>
      <c r="CI40" s="32"/>
      <c r="CP40" s="21" t="s">
        <v>806</v>
      </c>
      <c r="CQ40" s="298"/>
      <c r="CR40" s="132" t="s">
        <v>845</v>
      </c>
      <c r="CS40" s="5"/>
      <c r="CT40" s="5"/>
      <c r="CU40" s="5">
        <v>2</v>
      </c>
      <c r="CV40" s="5"/>
      <c r="CW40" s="7" t="s">
        <v>818</v>
      </c>
    </row>
    <row r="41" spans="3:101" ht="18.75" thickBot="1">
      <c r="C41" t="str">
        <f t="shared" si="4"/>
        <v>Batelier</v>
      </c>
      <c r="W41" s="64" t="s">
        <v>685</v>
      </c>
      <c r="X41" s="65" t="s">
        <v>7</v>
      </c>
      <c r="Z41" s="6" t="s">
        <v>118</v>
      </c>
      <c r="AA41" s="7" t="s">
        <v>119</v>
      </c>
      <c r="AG41"/>
      <c r="AQ41" s="6" t="s">
        <v>51</v>
      </c>
      <c r="AR41" s="5" t="s">
        <v>273</v>
      </c>
      <c r="AS41" s="186" t="s">
        <v>242</v>
      </c>
      <c r="AT41" s="187" t="s">
        <v>403</v>
      </c>
      <c r="AU41" s="187">
        <v>3</v>
      </c>
      <c r="AV41" s="188">
        <v>2</v>
      </c>
      <c r="AW41" s="188">
        <v>0</v>
      </c>
      <c r="AX41" s="188">
        <v>0</v>
      </c>
      <c r="AY41" s="188">
        <v>1</v>
      </c>
      <c r="AZ41" s="188">
        <v>1</v>
      </c>
      <c r="BA41" s="188">
        <v>1</v>
      </c>
      <c r="BB41" s="188">
        <v>0</v>
      </c>
      <c r="BC41" s="188">
        <v>0</v>
      </c>
      <c r="BD41" s="188">
        <v>3</v>
      </c>
      <c r="BE41" s="188">
        <v>4</v>
      </c>
      <c r="BF41" s="187" t="s">
        <v>367</v>
      </c>
      <c r="BG41" s="187" t="s">
        <v>423</v>
      </c>
      <c r="BH41" s="187" t="s">
        <v>243</v>
      </c>
      <c r="BI41" s="187" t="s">
        <v>378</v>
      </c>
      <c r="BJ41" s="187" t="s">
        <v>130</v>
      </c>
      <c r="BK41" s="187" t="s">
        <v>72</v>
      </c>
      <c r="BL41" s="187" t="s">
        <v>138</v>
      </c>
      <c r="BM41" s="187" t="s">
        <v>211</v>
      </c>
      <c r="BN41" s="187" t="s">
        <v>133</v>
      </c>
      <c r="BO41" s="187" t="s">
        <v>142</v>
      </c>
      <c r="BP41" s="187" t="s">
        <v>75</v>
      </c>
      <c r="BQ41" s="187" t="s">
        <v>684</v>
      </c>
      <c r="BR41" s="195" t="s">
        <v>780</v>
      </c>
      <c r="BU41" s="15"/>
      <c r="BV41" s="15"/>
      <c r="BW41" s="15"/>
      <c r="BX41" s="15"/>
      <c r="BY41" s="15"/>
      <c r="BZ41" s="278"/>
      <c r="CA41" s="278"/>
      <c r="CB41" s="278"/>
      <c r="CC41" s="278"/>
      <c r="CD41" s="278"/>
      <c r="CE41" s="15"/>
      <c r="CF41" s="15"/>
      <c r="CG41" s="15"/>
      <c r="CH41" s="15" t="str">
        <f t="shared" si="2"/>
        <v/>
      </c>
      <c r="CI41" s="32"/>
      <c r="CP41" s="21" t="s">
        <v>808</v>
      </c>
      <c r="CQ41" s="298" t="s">
        <v>845</v>
      </c>
      <c r="CR41" s="132"/>
      <c r="CS41" s="5">
        <v>2</v>
      </c>
      <c r="CT41" s="5"/>
      <c r="CU41" s="5"/>
      <c r="CV41" s="5"/>
      <c r="CW41" s="7" t="s">
        <v>814</v>
      </c>
    </row>
    <row r="42" spans="3:101" ht="18.75" thickBot="1">
      <c r="C42" t="str">
        <f t="shared" si="4"/>
        <v>Bourgeois</v>
      </c>
      <c r="W42" s="62" t="s">
        <v>147</v>
      </c>
      <c r="X42" s="65" t="s">
        <v>7</v>
      </c>
      <c r="Z42" s="6" t="s">
        <v>120</v>
      </c>
      <c r="AA42" s="7" t="s">
        <v>358</v>
      </c>
      <c r="AG42"/>
      <c r="AQ42" s="6" t="s">
        <v>53</v>
      </c>
      <c r="AR42" s="5" t="s">
        <v>273</v>
      </c>
      <c r="AS42" s="186" t="s">
        <v>245</v>
      </c>
      <c r="AT42" s="187" t="s">
        <v>403</v>
      </c>
      <c r="AU42" s="187">
        <v>5</v>
      </c>
      <c r="AV42" s="188">
        <v>2</v>
      </c>
      <c r="AW42" s="188">
        <v>1</v>
      </c>
      <c r="AX42" s="188">
        <v>0</v>
      </c>
      <c r="AY42" s="188">
        <v>1</v>
      </c>
      <c r="AZ42" s="189">
        <v>0</v>
      </c>
      <c r="BA42" s="189">
        <v>1</v>
      </c>
      <c r="BB42" s="189">
        <v>0</v>
      </c>
      <c r="BC42" s="188">
        <v>4</v>
      </c>
      <c r="BD42" s="188">
        <v>0</v>
      </c>
      <c r="BE42" s="188">
        <v>3</v>
      </c>
      <c r="BF42" s="187" t="s">
        <v>422</v>
      </c>
      <c r="BG42" s="187" t="s">
        <v>362</v>
      </c>
      <c r="BH42" s="187" t="s">
        <v>193</v>
      </c>
      <c r="BI42" s="187" t="s">
        <v>361</v>
      </c>
      <c r="BJ42" s="187" t="s">
        <v>135</v>
      </c>
      <c r="BK42" s="187" t="s">
        <v>145</v>
      </c>
      <c r="BL42" s="187" t="s">
        <v>140</v>
      </c>
      <c r="BM42" s="187" t="s">
        <v>133</v>
      </c>
      <c r="BN42" s="187" t="s">
        <v>126</v>
      </c>
      <c r="BO42" s="187" t="s">
        <v>184</v>
      </c>
      <c r="BP42" s="187" t="s">
        <v>75</v>
      </c>
      <c r="BQ42" s="187" t="s">
        <v>338</v>
      </c>
      <c r="BR42" s="195" t="s">
        <v>824</v>
      </c>
      <c r="BU42" s="279" t="s">
        <v>524</v>
      </c>
      <c r="BV42" s="280" t="s">
        <v>525</v>
      </c>
      <c r="BW42" s="280" t="s">
        <v>526</v>
      </c>
      <c r="BX42" s="280" t="s">
        <v>427</v>
      </c>
      <c r="BY42" s="280" t="s">
        <v>527</v>
      </c>
      <c r="BZ42" s="280" t="s">
        <v>614</v>
      </c>
      <c r="CA42" s="280" t="s">
        <v>529</v>
      </c>
      <c r="CB42" s="458" t="s">
        <v>603</v>
      </c>
      <c r="CC42" s="459"/>
      <c r="CD42" s="459"/>
      <c r="CE42" s="459"/>
      <c r="CF42" s="281"/>
      <c r="CG42" s="282"/>
      <c r="CH42" s="283" t="str">
        <f t="shared" si="2"/>
        <v>Qualité &amp; Défaut</v>
      </c>
      <c r="CI42" s="284"/>
      <c r="CP42" s="21" t="s">
        <v>808</v>
      </c>
      <c r="CQ42" s="298" t="s">
        <v>846</v>
      </c>
      <c r="CR42" s="132"/>
      <c r="CS42" s="5">
        <v>2</v>
      </c>
      <c r="CT42" s="5"/>
      <c r="CU42" s="5"/>
      <c r="CV42" s="5"/>
      <c r="CW42" s="7" t="s">
        <v>818</v>
      </c>
    </row>
    <row r="43" spans="3:101" ht="18.75" thickBot="1">
      <c r="C43" t="str">
        <f t="shared" si="4"/>
        <v xml:space="preserve">Cavalier </v>
      </c>
      <c r="W43" s="62" t="s">
        <v>296</v>
      </c>
      <c r="X43" s="65" t="s">
        <v>10</v>
      </c>
      <c r="Z43" s="8" t="s">
        <v>122</v>
      </c>
      <c r="AA43" s="9" t="s">
        <v>97</v>
      </c>
      <c r="AG43"/>
      <c r="AQ43" s="6" t="s">
        <v>283</v>
      </c>
      <c r="AR43" s="5" t="s">
        <v>273</v>
      </c>
      <c r="AS43" s="186" t="s">
        <v>241</v>
      </c>
      <c r="AT43" s="187" t="s">
        <v>403</v>
      </c>
      <c r="AU43" s="187">
        <v>3</v>
      </c>
      <c r="AV43" s="188">
        <v>2</v>
      </c>
      <c r="AW43" s="188">
        <v>3</v>
      </c>
      <c r="AX43" s="188">
        <v>0</v>
      </c>
      <c r="AY43" s="188">
        <v>4</v>
      </c>
      <c r="AZ43" s="188">
        <v>1</v>
      </c>
      <c r="BA43" s="188">
        <v>0</v>
      </c>
      <c r="BB43" s="188">
        <v>1</v>
      </c>
      <c r="BC43" s="188">
        <v>0</v>
      </c>
      <c r="BD43" s="188">
        <v>0</v>
      </c>
      <c r="BE43" s="188">
        <v>1</v>
      </c>
      <c r="BF43" s="187" t="s">
        <v>869</v>
      </c>
      <c r="BG43" s="187" t="s">
        <v>172</v>
      </c>
      <c r="BH43" s="187" t="s">
        <v>867</v>
      </c>
      <c r="BI43" s="187" t="s">
        <v>868</v>
      </c>
      <c r="BJ43" s="187" t="s">
        <v>130</v>
      </c>
      <c r="BK43" s="187" t="s">
        <v>132</v>
      </c>
      <c r="BL43" s="187" t="s">
        <v>354</v>
      </c>
      <c r="BM43" s="187" t="s">
        <v>133</v>
      </c>
      <c r="BN43" s="187" t="s">
        <v>126</v>
      </c>
      <c r="BO43" s="187" t="s">
        <v>687</v>
      </c>
      <c r="BP43" s="187" t="s">
        <v>320</v>
      </c>
      <c r="BQ43" s="187" t="s">
        <v>147</v>
      </c>
      <c r="BR43" s="195" t="s">
        <v>781</v>
      </c>
      <c r="BU43" s="285" t="s">
        <v>604</v>
      </c>
      <c r="BV43" s="255" t="s">
        <v>604</v>
      </c>
      <c r="BW43" s="255" t="s">
        <v>589</v>
      </c>
      <c r="BX43" s="255" t="s">
        <v>596</v>
      </c>
      <c r="BY43" s="255" t="s">
        <v>521</v>
      </c>
      <c r="BZ43" s="254" t="s">
        <v>615</v>
      </c>
      <c r="CA43" s="255" t="s">
        <v>621</v>
      </c>
      <c r="CB43" s="255" t="s">
        <v>623</v>
      </c>
      <c r="CC43" s="255"/>
      <c r="CD43" s="255"/>
      <c r="CE43" s="256"/>
      <c r="CF43" s="257" t="s">
        <v>621</v>
      </c>
      <c r="CG43" s="234" t="s">
        <v>4</v>
      </c>
      <c r="CH43" s="234" t="str">
        <f t="shared" si="2"/>
        <v>Recharge 1</v>
      </c>
      <c r="CI43" s="235" t="str">
        <f>CONCATENATE("A Distance (",BU43,")")</f>
        <v>A Distance (Arbalète)</v>
      </c>
      <c r="CP43" s="22" t="s">
        <v>799</v>
      </c>
      <c r="CQ43" s="299"/>
      <c r="CR43" s="134"/>
      <c r="CS43" s="17"/>
      <c r="CT43" s="17">
        <v>2</v>
      </c>
      <c r="CU43" s="17"/>
      <c r="CV43" s="17"/>
      <c r="CW43" s="9" t="s">
        <v>818</v>
      </c>
    </row>
    <row r="44" spans="3:101" ht="18">
      <c r="C44" t="str">
        <f t="shared" si="4"/>
        <v xml:space="preserve">Charlatan </v>
      </c>
      <c r="W44" s="64" t="s">
        <v>344</v>
      </c>
      <c r="X44" s="65" t="s">
        <v>11</v>
      </c>
      <c r="AG44"/>
      <c r="AQ44" s="6" t="s">
        <v>23</v>
      </c>
      <c r="AR44" s="5" t="s">
        <v>274</v>
      </c>
      <c r="AS44" s="186" t="s">
        <v>23</v>
      </c>
      <c r="AT44" s="187" t="s">
        <v>403</v>
      </c>
      <c r="AU44" s="187">
        <v>3</v>
      </c>
      <c r="AV44" s="188">
        <v>0</v>
      </c>
      <c r="AW44" s="188">
        <v>0</v>
      </c>
      <c r="AX44" s="188">
        <v>0</v>
      </c>
      <c r="AY44" s="188">
        <v>1</v>
      </c>
      <c r="AZ44" s="189">
        <v>0</v>
      </c>
      <c r="BA44" s="189">
        <v>3</v>
      </c>
      <c r="BB44" s="189">
        <v>1</v>
      </c>
      <c r="BC44" s="188">
        <v>1</v>
      </c>
      <c r="BD44" s="188">
        <v>4</v>
      </c>
      <c r="BE44" s="188">
        <v>2</v>
      </c>
      <c r="BF44" s="187" t="s">
        <v>871</v>
      </c>
      <c r="BG44" s="187" t="s">
        <v>851</v>
      </c>
      <c r="BH44" s="187" t="s">
        <v>863</v>
      </c>
      <c r="BI44" s="187" t="s">
        <v>105</v>
      </c>
      <c r="BJ44" s="187" t="s">
        <v>145</v>
      </c>
      <c r="BK44" s="187" t="s">
        <v>345</v>
      </c>
      <c r="BL44" s="187" t="s">
        <v>332</v>
      </c>
      <c r="BM44" s="187" t="s">
        <v>508</v>
      </c>
      <c r="BN44" s="187" t="s">
        <v>306</v>
      </c>
      <c r="BO44" s="187" t="s">
        <v>336</v>
      </c>
      <c r="BP44" s="187" t="s">
        <v>852</v>
      </c>
      <c r="BQ44" s="187" t="s">
        <v>853</v>
      </c>
      <c r="BR44" s="195" t="s">
        <v>782</v>
      </c>
      <c r="BU44" s="261" t="s">
        <v>604</v>
      </c>
      <c r="BV44" s="259" t="s">
        <v>606</v>
      </c>
      <c r="BW44" s="259" t="s">
        <v>611</v>
      </c>
      <c r="BX44" s="259" t="s">
        <v>570</v>
      </c>
      <c r="BY44" s="259" t="s">
        <v>583</v>
      </c>
      <c r="BZ44" s="258" t="s">
        <v>616</v>
      </c>
      <c r="CA44" s="259" t="s">
        <v>622</v>
      </c>
      <c r="CB44" s="259" t="s">
        <v>624</v>
      </c>
      <c r="CC44" s="259"/>
      <c r="CD44" s="259"/>
      <c r="CE44" s="260"/>
      <c r="CF44" s="261" t="s">
        <v>622</v>
      </c>
      <c r="CG44" s="227" t="s">
        <v>4</v>
      </c>
      <c r="CH44" s="227" t="str">
        <f t="shared" si="2"/>
        <v>Pistolet</v>
      </c>
      <c r="CI44" s="235" t="str">
        <f t="shared" ref="CI44:CI67" si="5">CONCATENATE("A Distance (",BU44,")")</f>
        <v>A Distance (Arbalète)</v>
      </c>
    </row>
    <row r="45" spans="3:101" ht="18">
      <c r="C45" t="str">
        <f t="shared" si="4"/>
        <v xml:space="preserve">Chasseur </v>
      </c>
      <c r="W45" s="64" t="s">
        <v>345</v>
      </c>
      <c r="X45" s="65" t="s">
        <v>10</v>
      </c>
      <c r="Z45" s="33"/>
      <c r="AA45" s="33"/>
      <c r="AB45" s="33"/>
      <c r="AC45" s="33"/>
      <c r="AD45" s="33"/>
      <c r="AE45" s="33"/>
      <c r="AF45" s="33"/>
      <c r="AG45" s="32"/>
      <c r="AH45" s="33"/>
      <c r="AI45" s="33"/>
      <c r="AJ45" s="33"/>
      <c r="AK45" s="33"/>
      <c r="AL45" s="33"/>
      <c r="AM45" s="33"/>
      <c r="AQ45" s="6" t="s">
        <v>281</v>
      </c>
      <c r="AR45" s="5" t="s">
        <v>274</v>
      </c>
      <c r="AS45" s="186" t="s">
        <v>212</v>
      </c>
      <c r="AT45" s="187" t="s">
        <v>403</v>
      </c>
      <c r="AU45" s="187">
        <v>4</v>
      </c>
      <c r="AV45" s="188">
        <v>0</v>
      </c>
      <c r="AW45" s="188">
        <v>0</v>
      </c>
      <c r="AX45" s="188">
        <v>0</v>
      </c>
      <c r="AY45" s="188">
        <v>4</v>
      </c>
      <c r="AZ45" s="188">
        <v>0</v>
      </c>
      <c r="BA45" s="188">
        <v>1</v>
      </c>
      <c r="BB45" s="188">
        <v>1</v>
      </c>
      <c r="BC45" s="188">
        <v>1</v>
      </c>
      <c r="BD45" s="188">
        <v>3</v>
      </c>
      <c r="BE45" s="188">
        <v>2</v>
      </c>
      <c r="BF45" s="187" t="s">
        <v>303</v>
      </c>
      <c r="BG45" s="187" t="s">
        <v>863</v>
      </c>
      <c r="BH45" s="187" t="s">
        <v>105</v>
      </c>
      <c r="BI45" s="187" t="s">
        <v>862</v>
      </c>
      <c r="BJ45" s="187" t="s">
        <v>145</v>
      </c>
      <c r="BK45" s="187" t="s">
        <v>211</v>
      </c>
      <c r="BL45" s="187" t="s">
        <v>126</v>
      </c>
      <c r="BM45" s="187" t="s">
        <v>332</v>
      </c>
      <c r="BN45" s="187" t="s">
        <v>335</v>
      </c>
      <c r="BO45" s="187" t="s">
        <v>765</v>
      </c>
      <c r="BP45" s="187" t="s">
        <v>75</v>
      </c>
      <c r="BQ45" s="187" t="s">
        <v>150</v>
      </c>
      <c r="BR45" s="195" t="s">
        <v>783</v>
      </c>
      <c r="BU45" s="261" t="s">
        <v>604</v>
      </c>
      <c r="BV45" s="259" t="s">
        <v>607</v>
      </c>
      <c r="BW45" s="259" t="s">
        <v>612</v>
      </c>
      <c r="BX45" s="259" t="s">
        <v>582</v>
      </c>
      <c r="BY45" s="259" t="s">
        <v>544</v>
      </c>
      <c r="BZ45" s="258" t="s">
        <v>617</v>
      </c>
      <c r="CA45" s="259" t="s">
        <v>621</v>
      </c>
      <c r="CB45" s="259" t="s">
        <v>751</v>
      </c>
      <c r="CC45" s="259" t="s">
        <v>625</v>
      </c>
      <c r="CD45" s="259"/>
      <c r="CE45" s="260"/>
      <c r="CF45" s="261" t="s">
        <v>621</v>
      </c>
      <c r="CG45" s="227" t="s">
        <v>4</v>
      </c>
      <c r="CH45" s="227" t="str">
        <f t="shared" si="2"/>
        <v>Dévastatrice, Recharge 2</v>
      </c>
      <c r="CI45" s="235" t="str">
        <f t="shared" si="5"/>
        <v>A Distance (Arbalète)</v>
      </c>
    </row>
    <row r="46" spans="3:101" ht="18">
      <c r="C46" t="str">
        <f t="shared" si="4"/>
        <v>Chasseur de Primes</v>
      </c>
      <c r="W46" s="62" t="s">
        <v>506</v>
      </c>
      <c r="X46" s="63" t="s">
        <v>10</v>
      </c>
      <c r="Z46" s="31"/>
      <c r="AA46" s="31"/>
      <c r="AB46" s="31"/>
      <c r="AC46" s="31"/>
      <c r="AD46" s="31"/>
      <c r="AE46" s="33"/>
      <c r="AF46" s="33"/>
      <c r="AG46" s="32"/>
      <c r="AH46" s="33"/>
      <c r="AI46" s="33"/>
      <c r="AJ46" s="33"/>
      <c r="AK46" s="33"/>
      <c r="AL46" s="33"/>
      <c r="AM46" s="33"/>
      <c r="AQ46" s="6" t="s">
        <v>28</v>
      </c>
      <c r="AR46" s="5" t="s">
        <v>274</v>
      </c>
      <c r="AS46" s="186" t="s">
        <v>216</v>
      </c>
      <c r="AT46" s="187" t="s">
        <v>403</v>
      </c>
      <c r="AU46" s="187">
        <v>3</v>
      </c>
      <c r="AV46" s="188">
        <v>0</v>
      </c>
      <c r="AW46" s="188">
        <v>0</v>
      </c>
      <c r="AX46" s="188">
        <v>0</v>
      </c>
      <c r="AY46" s="188">
        <v>1</v>
      </c>
      <c r="AZ46" s="189">
        <v>0</v>
      </c>
      <c r="BA46" s="189">
        <v>2</v>
      </c>
      <c r="BB46" s="189">
        <v>4</v>
      </c>
      <c r="BC46" s="188">
        <v>1</v>
      </c>
      <c r="BD46" s="188">
        <v>1</v>
      </c>
      <c r="BE46" s="188">
        <v>3</v>
      </c>
      <c r="BF46" s="187" t="s">
        <v>381</v>
      </c>
      <c r="BG46" s="187" t="s">
        <v>105</v>
      </c>
      <c r="BH46" s="187" t="s">
        <v>874</v>
      </c>
      <c r="BI46" s="187" t="s">
        <v>194</v>
      </c>
      <c r="BJ46" s="187" t="s">
        <v>145</v>
      </c>
      <c r="BK46" s="187" t="s">
        <v>849</v>
      </c>
      <c r="BL46" s="187" t="s">
        <v>140</v>
      </c>
      <c r="BM46" s="187" t="s">
        <v>133</v>
      </c>
      <c r="BN46" s="187" t="s">
        <v>126</v>
      </c>
      <c r="BO46" s="187" t="s">
        <v>332</v>
      </c>
      <c r="BP46" s="187" t="s">
        <v>321</v>
      </c>
      <c r="BQ46" s="187" t="s">
        <v>150</v>
      </c>
      <c r="BR46" s="195" t="s">
        <v>784</v>
      </c>
      <c r="BU46" s="261" t="s">
        <v>605</v>
      </c>
      <c r="BV46" s="259" t="s">
        <v>605</v>
      </c>
      <c r="BW46" s="259" t="s">
        <v>579</v>
      </c>
      <c r="BX46" s="259" t="s">
        <v>596</v>
      </c>
      <c r="BY46" s="259" t="s">
        <v>521</v>
      </c>
      <c r="BZ46" s="258" t="s">
        <v>618</v>
      </c>
      <c r="CA46" s="259" t="s">
        <v>551</v>
      </c>
      <c r="CB46" s="259"/>
      <c r="CC46" s="259"/>
      <c r="CD46" s="259"/>
      <c r="CE46" s="260"/>
      <c r="CF46" s="261">
        <v>3</v>
      </c>
      <c r="CG46" s="227" t="s">
        <v>4</v>
      </c>
      <c r="CH46" s="227" t="str">
        <f t="shared" si="2"/>
        <v/>
      </c>
      <c r="CI46" s="235" t="str">
        <f t="shared" si="5"/>
        <v>A Distance (Arc)</v>
      </c>
    </row>
    <row r="47" spans="3:101" ht="18">
      <c r="C47" t="str">
        <f t="shared" si="4"/>
        <v xml:space="preserve">Chevalier </v>
      </c>
      <c r="W47" s="62" t="s">
        <v>675</v>
      </c>
      <c r="X47" s="65" t="s">
        <v>10</v>
      </c>
      <c r="Z47" s="64"/>
      <c r="AA47" s="65"/>
      <c r="AB47" s="31"/>
      <c r="AC47" s="31"/>
      <c r="AD47" s="31"/>
      <c r="AE47" s="33"/>
      <c r="AF47" s="33"/>
      <c r="AG47" s="32"/>
      <c r="AH47" s="33"/>
      <c r="AI47" s="33"/>
      <c r="AJ47" s="33"/>
      <c r="AK47" s="33"/>
      <c r="AL47" s="33"/>
      <c r="AM47" s="33"/>
      <c r="AQ47" s="6" t="s">
        <v>24</v>
      </c>
      <c r="AR47" s="5" t="s">
        <v>274</v>
      </c>
      <c r="AS47" s="186" t="s">
        <v>209</v>
      </c>
      <c r="AT47" s="187" t="s">
        <v>403</v>
      </c>
      <c r="AU47" s="187">
        <v>4</v>
      </c>
      <c r="AV47" s="188">
        <v>0</v>
      </c>
      <c r="AW47" s="188">
        <v>1</v>
      </c>
      <c r="AX47" s="188">
        <v>0</v>
      </c>
      <c r="AY47" s="188">
        <v>3</v>
      </c>
      <c r="AZ47" s="188">
        <v>0</v>
      </c>
      <c r="BA47" s="188">
        <v>2</v>
      </c>
      <c r="BB47" s="188">
        <v>1</v>
      </c>
      <c r="BC47" s="188">
        <v>1</v>
      </c>
      <c r="BD47" s="188">
        <v>4</v>
      </c>
      <c r="BE47" s="188">
        <v>0</v>
      </c>
      <c r="BF47" s="187" t="s">
        <v>315</v>
      </c>
      <c r="BG47" s="187" t="s">
        <v>872</v>
      </c>
      <c r="BH47" s="187" t="s">
        <v>105</v>
      </c>
      <c r="BI47" s="187" t="s">
        <v>857</v>
      </c>
      <c r="BJ47" s="187" t="s">
        <v>145</v>
      </c>
      <c r="BK47" s="187" t="s">
        <v>127</v>
      </c>
      <c r="BL47" s="187" t="s">
        <v>211</v>
      </c>
      <c r="BM47" s="187" t="s">
        <v>332</v>
      </c>
      <c r="BN47" s="187" t="s">
        <v>307</v>
      </c>
      <c r="BO47" s="187" t="s">
        <v>75</v>
      </c>
      <c r="BP47" s="187" t="s">
        <v>340</v>
      </c>
      <c r="BQ47" s="187" t="s">
        <v>689</v>
      </c>
      <c r="BR47" s="195" t="s">
        <v>785</v>
      </c>
      <c r="BU47" s="261" t="s">
        <v>605</v>
      </c>
      <c r="BV47" s="259" t="s">
        <v>608</v>
      </c>
      <c r="BW47" s="259" t="s">
        <v>542</v>
      </c>
      <c r="BX47" s="259" t="s">
        <v>590</v>
      </c>
      <c r="BY47" s="259" t="s">
        <v>521</v>
      </c>
      <c r="BZ47" s="258" t="s">
        <v>619</v>
      </c>
      <c r="CA47" s="259" t="s">
        <v>550</v>
      </c>
      <c r="CB47" s="259"/>
      <c r="CC47" s="259"/>
      <c r="CD47" s="259"/>
      <c r="CE47" s="260"/>
      <c r="CF47" s="261">
        <v>2</v>
      </c>
      <c r="CG47" s="227" t="s">
        <v>4</v>
      </c>
      <c r="CH47" s="227" t="str">
        <f t="shared" si="2"/>
        <v/>
      </c>
      <c r="CI47" s="235" t="str">
        <f t="shared" si="5"/>
        <v>A Distance (Arc)</v>
      </c>
    </row>
    <row r="48" spans="3:101" ht="18">
      <c r="C48" t="str">
        <f t="shared" si="4"/>
        <v xml:space="preserve">Cocher </v>
      </c>
      <c r="W48" s="62" t="s">
        <v>686</v>
      </c>
      <c r="X48" s="65" t="s">
        <v>10</v>
      </c>
      <c r="Z48" s="31"/>
      <c r="AA48" s="31"/>
      <c r="AB48" s="31"/>
      <c r="AC48" s="31"/>
      <c r="AD48" s="31"/>
      <c r="AE48" s="33"/>
      <c r="AF48" s="33"/>
      <c r="AG48" s="32"/>
      <c r="AH48" s="33"/>
      <c r="AI48" s="33"/>
      <c r="AJ48" s="33"/>
      <c r="AK48" s="33"/>
      <c r="AL48" s="33"/>
      <c r="AM48" s="33"/>
      <c r="AQ48" s="6" t="s">
        <v>290</v>
      </c>
      <c r="AR48" s="5" t="s">
        <v>274</v>
      </c>
      <c r="AS48" s="186" t="s">
        <v>217</v>
      </c>
      <c r="AT48" s="187" t="s">
        <v>403</v>
      </c>
      <c r="AU48" s="187">
        <v>3</v>
      </c>
      <c r="AV48" s="188">
        <v>1</v>
      </c>
      <c r="AW48" s="188">
        <v>0</v>
      </c>
      <c r="AX48" s="188">
        <v>0</v>
      </c>
      <c r="AY48" s="188">
        <v>0</v>
      </c>
      <c r="AZ48" s="189">
        <v>2</v>
      </c>
      <c r="BA48" s="189">
        <v>3</v>
      </c>
      <c r="BB48" s="189">
        <v>0</v>
      </c>
      <c r="BC48" s="188">
        <v>1</v>
      </c>
      <c r="BD48" s="188">
        <v>1</v>
      </c>
      <c r="BE48" s="188">
        <v>4</v>
      </c>
      <c r="BF48" s="187" t="s">
        <v>879</v>
      </c>
      <c r="BG48" s="187" t="s">
        <v>350</v>
      </c>
      <c r="BH48" s="187" t="s">
        <v>105</v>
      </c>
      <c r="BI48" s="187" t="s">
        <v>353</v>
      </c>
      <c r="BJ48" s="187" t="s">
        <v>344</v>
      </c>
      <c r="BK48" s="187" t="s">
        <v>138</v>
      </c>
      <c r="BL48" s="187" t="s">
        <v>74</v>
      </c>
      <c r="BM48" s="187" t="s">
        <v>333</v>
      </c>
      <c r="BN48" s="187" t="s">
        <v>308</v>
      </c>
      <c r="BO48" s="187" t="s">
        <v>184</v>
      </c>
      <c r="BP48" s="187" t="s">
        <v>325</v>
      </c>
      <c r="BQ48" s="187" t="s">
        <v>75</v>
      </c>
      <c r="BR48" s="195" t="s">
        <v>836</v>
      </c>
      <c r="BU48" s="261" t="s">
        <v>605</v>
      </c>
      <c r="BV48" s="259" t="s">
        <v>609</v>
      </c>
      <c r="BW48" s="259" t="s">
        <v>581</v>
      </c>
      <c r="BX48" s="259" t="s">
        <v>596</v>
      </c>
      <c r="BY48" s="259" t="s">
        <v>613</v>
      </c>
      <c r="BZ48" s="258" t="s">
        <v>620</v>
      </c>
      <c r="CA48" s="259" t="s">
        <v>523</v>
      </c>
      <c r="CB48" s="259" t="s">
        <v>751</v>
      </c>
      <c r="CC48" s="259" t="s">
        <v>591</v>
      </c>
      <c r="CD48" s="259"/>
      <c r="CE48" s="260"/>
      <c r="CF48" s="261">
        <v>4</v>
      </c>
      <c r="CG48" s="227" t="s">
        <v>4</v>
      </c>
      <c r="CH48" s="227" t="str">
        <f t="shared" si="2"/>
        <v>Dévastatrice, Pointue</v>
      </c>
      <c r="CI48" s="235" t="str">
        <f t="shared" si="5"/>
        <v>A Distance (Arc)</v>
      </c>
    </row>
    <row r="49" spans="3:87" ht="18">
      <c r="C49" t="str">
        <f t="shared" si="4"/>
        <v xml:space="preserve">Colporteur </v>
      </c>
      <c r="W49" s="64" t="s">
        <v>174</v>
      </c>
      <c r="X49" s="65" t="s">
        <v>10</v>
      </c>
      <c r="Z49" s="31"/>
      <c r="AA49" s="31"/>
      <c r="AB49" s="31"/>
      <c r="AC49" s="31"/>
      <c r="AD49" s="31"/>
      <c r="AE49" s="33"/>
      <c r="AF49" s="33"/>
      <c r="AG49" s="32"/>
      <c r="AH49" s="33"/>
      <c r="AI49" s="33"/>
      <c r="AJ49" s="33"/>
      <c r="AK49" s="33"/>
      <c r="AL49" s="33"/>
      <c r="AM49" s="33"/>
      <c r="AQ49" s="6" t="s">
        <v>26</v>
      </c>
      <c r="AR49" s="5" t="s">
        <v>274</v>
      </c>
      <c r="AS49" s="186" t="s">
        <v>214</v>
      </c>
      <c r="AT49" s="187" t="s">
        <v>403</v>
      </c>
      <c r="AU49" s="187">
        <v>4</v>
      </c>
      <c r="AV49" s="188">
        <v>0</v>
      </c>
      <c r="AW49" s="188">
        <v>0</v>
      </c>
      <c r="AX49" s="188">
        <v>0</v>
      </c>
      <c r="AY49" s="188">
        <v>0</v>
      </c>
      <c r="AZ49" s="188">
        <v>4</v>
      </c>
      <c r="BA49" s="188">
        <v>3</v>
      </c>
      <c r="BB49" s="188">
        <v>1</v>
      </c>
      <c r="BC49" s="188">
        <v>1</v>
      </c>
      <c r="BD49" s="188">
        <v>1</v>
      </c>
      <c r="BE49" s="188">
        <v>2</v>
      </c>
      <c r="BF49" s="187" t="s">
        <v>417</v>
      </c>
      <c r="BG49" s="187" t="s">
        <v>418</v>
      </c>
      <c r="BH49" s="187" t="s">
        <v>105</v>
      </c>
      <c r="BI49" s="187" t="s">
        <v>376</v>
      </c>
      <c r="BJ49" s="187" t="s">
        <v>127</v>
      </c>
      <c r="BK49" s="187" t="s">
        <v>147</v>
      </c>
      <c r="BL49" s="187" t="s">
        <v>345</v>
      </c>
      <c r="BM49" s="187" t="s">
        <v>75</v>
      </c>
      <c r="BN49" s="187" t="s">
        <v>133</v>
      </c>
      <c r="BO49" s="187" t="s">
        <v>143</v>
      </c>
      <c r="BP49" s="187" t="s">
        <v>419</v>
      </c>
      <c r="BQ49" s="187" t="s">
        <v>420</v>
      </c>
      <c r="BR49" s="195" t="s">
        <v>421</v>
      </c>
      <c r="BU49" s="261" t="s">
        <v>605</v>
      </c>
      <c r="BV49" s="259" t="s">
        <v>610</v>
      </c>
      <c r="BW49" s="259" t="s">
        <v>589</v>
      </c>
      <c r="BX49" s="259" t="s">
        <v>582</v>
      </c>
      <c r="BY49" s="259" t="s">
        <v>583</v>
      </c>
      <c r="BZ49" s="258" t="s">
        <v>617</v>
      </c>
      <c r="CA49" s="259" t="s">
        <v>523</v>
      </c>
      <c r="CB49" s="259" t="s">
        <v>584</v>
      </c>
      <c r="CC49" s="259"/>
      <c r="CD49" s="259"/>
      <c r="CE49" s="260"/>
      <c r="CF49" s="261">
        <v>4</v>
      </c>
      <c r="CG49" s="227" t="s">
        <v>4</v>
      </c>
      <c r="CH49" s="227" t="str">
        <f t="shared" si="2"/>
        <v>Dévastatrice</v>
      </c>
      <c r="CI49" s="235" t="str">
        <f t="shared" si="5"/>
        <v>A Distance (Arc)</v>
      </c>
    </row>
    <row r="50" spans="3:87" ht="18">
      <c r="C50" t="str">
        <f t="shared" si="4"/>
        <v>Conseiller</v>
      </c>
      <c r="W50" s="64" t="s">
        <v>332</v>
      </c>
      <c r="X50" s="65" t="s">
        <v>10</v>
      </c>
      <c r="Z50" s="31"/>
      <c r="AA50" s="31"/>
      <c r="AB50" s="31"/>
      <c r="AC50" s="31"/>
      <c r="AD50" s="31"/>
      <c r="AE50" s="33"/>
      <c r="AF50" s="33"/>
      <c r="AG50" s="32"/>
      <c r="AH50" s="33"/>
      <c r="AI50" s="33"/>
      <c r="AJ50" s="33"/>
      <c r="AK50" s="33"/>
      <c r="AL50" s="33"/>
      <c r="AM50" s="33"/>
      <c r="AQ50" s="6" t="s">
        <v>25</v>
      </c>
      <c r="AR50" s="5" t="s">
        <v>274</v>
      </c>
      <c r="AS50" s="186" t="s">
        <v>213</v>
      </c>
      <c r="AT50" s="187" t="s">
        <v>403</v>
      </c>
      <c r="AU50" s="187">
        <v>1</v>
      </c>
      <c r="AV50" s="188">
        <v>0</v>
      </c>
      <c r="AW50" s="188">
        <v>0</v>
      </c>
      <c r="AX50" s="188">
        <v>0</v>
      </c>
      <c r="AY50" s="188">
        <v>4</v>
      </c>
      <c r="AZ50" s="189">
        <v>0</v>
      </c>
      <c r="BA50" s="189">
        <v>3</v>
      </c>
      <c r="BB50" s="189">
        <v>1</v>
      </c>
      <c r="BC50" s="188">
        <v>1</v>
      </c>
      <c r="BD50" s="188">
        <v>2</v>
      </c>
      <c r="BE50" s="188">
        <v>1</v>
      </c>
      <c r="BF50" s="187" t="s">
        <v>393</v>
      </c>
      <c r="BG50" s="187" t="s">
        <v>373</v>
      </c>
      <c r="BH50" s="187" t="s">
        <v>302</v>
      </c>
      <c r="BI50" s="187" t="s">
        <v>105</v>
      </c>
      <c r="BJ50" s="187" t="s">
        <v>693</v>
      </c>
      <c r="BK50" s="187" t="s">
        <v>127</v>
      </c>
      <c r="BL50" s="187" t="s">
        <v>211</v>
      </c>
      <c r="BM50" s="187" t="s">
        <v>355</v>
      </c>
      <c r="BN50" s="187" t="s">
        <v>133</v>
      </c>
      <c r="BO50" s="187" t="s">
        <v>345</v>
      </c>
      <c r="BP50" s="187" t="s">
        <v>765</v>
      </c>
      <c r="BQ50" s="187" t="s">
        <v>342</v>
      </c>
      <c r="BR50" s="195" t="s">
        <v>786</v>
      </c>
      <c r="BU50" s="261" t="s">
        <v>626</v>
      </c>
      <c r="BV50" s="259" t="s">
        <v>627</v>
      </c>
      <c r="BW50" s="259" t="s">
        <v>629</v>
      </c>
      <c r="BX50" s="227">
        <v>0</v>
      </c>
      <c r="BY50" s="259" t="s">
        <v>521</v>
      </c>
      <c r="BZ50" s="258" t="s">
        <v>631</v>
      </c>
      <c r="CA50" s="259" t="s">
        <v>550</v>
      </c>
      <c r="CB50" s="259" t="s">
        <v>632</v>
      </c>
      <c r="CC50" s="259"/>
      <c r="CD50" s="259"/>
      <c r="CE50" s="260"/>
      <c r="CF50" s="261">
        <v>2</v>
      </c>
      <c r="CG50" s="227" t="s">
        <v>4</v>
      </c>
      <c r="CH50" s="227" t="str">
        <f t="shared" si="2"/>
        <v>Immobilisante</v>
      </c>
      <c r="CI50" s="235" t="str">
        <f t="shared" si="5"/>
        <v>A Distance (Entraves)</v>
      </c>
    </row>
    <row r="51" spans="3:87" ht="18">
      <c r="C51" t="str">
        <f t="shared" si="4"/>
        <v xml:space="preserve">Contrebandier </v>
      </c>
      <c r="W51" s="64" t="s">
        <v>128</v>
      </c>
      <c r="X51" s="65" t="s">
        <v>10</v>
      </c>
      <c r="Z51" s="31"/>
      <c r="AA51" s="31"/>
      <c r="AB51" s="31"/>
      <c r="AC51" s="31"/>
      <c r="AD51" s="31"/>
      <c r="AE51" s="33"/>
      <c r="AF51" s="33"/>
      <c r="AG51" s="32"/>
      <c r="AH51" s="33"/>
      <c r="AI51" s="33"/>
      <c r="AJ51" s="33"/>
      <c r="AK51" s="33"/>
      <c r="AL51" s="33"/>
      <c r="AM51" s="33"/>
      <c r="AQ51" s="6" t="s">
        <v>27</v>
      </c>
      <c r="AR51" s="5" t="s">
        <v>274</v>
      </c>
      <c r="AS51" s="186" t="s">
        <v>215</v>
      </c>
      <c r="AT51" s="187" t="s">
        <v>403</v>
      </c>
      <c r="AU51" s="187">
        <v>2</v>
      </c>
      <c r="AV51" s="188">
        <v>0</v>
      </c>
      <c r="AW51" s="188">
        <v>0</v>
      </c>
      <c r="AX51" s="188">
        <v>0</v>
      </c>
      <c r="AY51" s="188">
        <v>1</v>
      </c>
      <c r="AZ51" s="188">
        <v>1</v>
      </c>
      <c r="BA51" s="188">
        <v>4</v>
      </c>
      <c r="BB51" s="188">
        <v>0</v>
      </c>
      <c r="BC51" s="188">
        <v>3</v>
      </c>
      <c r="BD51" s="188">
        <v>1</v>
      </c>
      <c r="BE51" s="188">
        <v>2</v>
      </c>
      <c r="BF51" s="187" t="s">
        <v>393</v>
      </c>
      <c r="BG51" s="187" t="s">
        <v>865</v>
      </c>
      <c r="BH51" s="187" t="s">
        <v>105</v>
      </c>
      <c r="BI51" s="187" t="s">
        <v>868</v>
      </c>
      <c r="BJ51" s="187" t="s">
        <v>130</v>
      </c>
      <c r="BK51" s="187" t="s">
        <v>127</v>
      </c>
      <c r="BL51" s="187" t="s">
        <v>211</v>
      </c>
      <c r="BM51" s="187" t="s">
        <v>74</v>
      </c>
      <c r="BN51" s="187" t="s">
        <v>765</v>
      </c>
      <c r="BO51" s="187" t="s">
        <v>75</v>
      </c>
      <c r="BP51" s="187" t="s">
        <v>342</v>
      </c>
      <c r="BQ51" s="187" t="s">
        <v>150</v>
      </c>
      <c r="BR51" s="195" t="s">
        <v>786</v>
      </c>
      <c r="BU51" s="261" t="s">
        <v>626</v>
      </c>
      <c r="BV51" s="259" t="s">
        <v>628</v>
      </c>
      <c r="BW51" s="259" t="s">
        <v>630</v>
      </c>
      <c r="BX51" s="227">
        <v>0</v>
      </c>
      <c r="BY51" s="259" t="s">
        <v>521</v>
      </c>
      <c r="BZ51" s="258">
        <f ca="1">ROUNDDOWN('Feuille Personnage'!D10/10,0)*2</f>
        <v>6</v>
      </c>
      <c r="CA51" s="259" t="s">
        <v>570</v>
      </c>
      <c r="CB51" s="259" t="s">
        <v>632</v>
      </c>
      <c r="CC51" s="259"/>
      <c r="CD51" s="259"/>
      <c r="CE51" s="260"/>
      <c r="CF51" s="261" t="s">
        <v>760</v>
      </c>
      <c r="CG51" s="227" t="s">
        <v>4</v>
      </c>
      <c r="CH51" s="227" t="str">
        <f t="shared" si="2"/>
        <v>Immobilisante</v>
      </c>
      <c r="CI51" s="235" t="str">
        <f t="shared" si="5"/>
        <v>A Distance (Entraves)</v>
      </c>
    </row>
    <row r="52" spans="3:87" ht="18">
      <c r="C52" t="str">
        <f t="shared" si="4"/>
        <v>Débardeur</v>
      </c>
      <c r="W52" s="64" t="s">
        <v>190</v>
      </c>
      <c r="X52" s="65" t="s">
        <v>10</v>
      </c>
      <c r="Z52" s="31"/>
      <c r="AA52" s="31"/>
      <c r="AB52" s="31"/>
      <c r="AC52" s="31"/>
      <c r="AD52" s="31"/>
      <c r="AE52" s="33"/>
      <c r="AF52" s="33"/>
      <c r="AG52" s="32"/>
      <c r="AH52" s="33"/>
      <c r="AI52" s="33"/>
      <c r="AJ52" s="33"/>
      <c r="AK52" s="33"/>
      <c r="AL52" s="33"/>
      <c r="AM52" s="33"/>
      <c r="AQ52" s="6" t="s">
        <v>54</v>
      </c>
      <c r="AR52" s="5" t="s">
        <v>275</v>
      </c>
      <c r="AS52" s="186" t="s">
        <v>248</v>
      </c>
      <c r="AT52" s="187" t="s">
        <v>404</v>
      </c>
      <c r="AU52" s="187">
        <v>1</v>
      </c>
      <c r="AV52" s="188">
        <v>0</v>
      </c>
      <c r="AW52" s="188">
        <v>0</v>
      </c>
      <c r="AX52" s="188">
        <v>1</v>
      </c>
      <c r="AY52" s="188">
        <v>1</v>
      </c>
      <c r="AZ52" s="189">
        <v>1</v>
      </c>
      <c r="BA52" s="189">
        <v>2</v>
      </c>
      <c r="BB52" s="189">
        <v>3</v>
      </c>
      <c r="BC52" s="188">
        <v>4</v>
      </c>
      <c r="BD52" s="188">
        <v>0</v>
      </c>
      <c r="BE52" s="188">
        <v>0</v>
      </c>
      <c r="BF52" s="187" t="s">
        <v>391</v>
      </c>
      <c r="BG52" s="187" t="s">
        <v>415</v>
      </c>
      <c r="BH52" s="187" t="s">
        <v>363</v>
      </c>
      <c r="BI52" s="187" t="s">
        <v>369</v>
      </c>
      <c r="BJ52" s="187" t="s">
        <v>145</v>
      </c>
      <c r="BK52" s="187" t="s">
        <v>138</v>
      </c>
      <c r="BL52" s="187" t="s">
        <v>211</v>
      </c>
      <c r="BM52" s="187" t="s">
        <v>133</v>
      </c>
      <c r="BN52" s="187" t="s">
        <v>184</v>
      </c>
      <c r="BO52" s="187" t="s">
        <v>425</v>
      </c>
      <c r="BP52" s="187" t="s">
        <v>142</v>
      </c>
      <c r="BQ52" s="187" t="s">
        <v>148</v>
      </c>
      <c r="BR52" s="195" t="s">
        <v>837</v>
      </c>
      <c r="BU52" s="261" t="s">
        <v>633</v>
      </c>
      <c r="BV52" s="259" t="s">
        <v>634</v>
      </c>
      <c r="BW52" s="259" t="s">
        <v>542</v>
      </c>
      <c r="BX52" s="227">
        <v>0</v>
      </c>
      <c r="BY52" s="259" t="s">
        <v>544</v>
      </c>
      <c r="BZ52" s="258">
        <f ca="1">ROUNDDOWN('Feuille Personnage'!D10/10,0)</f>
        <v>3</v>
      </c>
      <c r="CA52" s="259" t="s">
        <v>637</v>
      </c>
      <c r="CB52" s="259" t="s">
        <v>752</v>
      </c>
      <c r="CC52" s="259" t="s">
        <v>638</v>
      </c>
      <c r="CD52" s="259" t="s">
        <v>585</v>
      </c>
      <c r="CE52" s="260"/>
      <c r="CF52" s="261" t="s">
        <v>637</v>
      </c>
      <c r="CG52" s="227" t="s">
        <v>4</v>
      </c>
      <c r="CH52" s="227" t="str">
        <f t="shared" si="2"/>
        <v>Explosion 5, DangereusePercutante</v>
      </c>
      <c r="CI52" s="235" t="str">
        <f t="shared" si="5"/>
        <v>A Distance (Explosif)</v>
      </c>
    </row>
    <row r="53" spans="3:87" ht="18">
      <c r="C53" t="str">
        <f t="shared" si="4"/>
        <v xml:space="preserve">Duelliste </v>
      </c>
      <c r="W53" s="64" t="s">
        <v>333</v>
      </c>
      <c r="X53" s="65" t="s">
        <v>10</v>
      </c>
      <c r="Z53" s="31"/>
      <c r="AA53" s="31"/>
      <c r="AB53" s="31"/>
      <c r="AC53" s="31"/>
      <c r="AD53" s="31"/>
      <c r="AE53" s="33"/>
      <c r="AF53" s="33"/>
      <c r="AG53" s="32"/>
      <c r="AH53" s="33"/>
      <c r="AI53" s="33"/>
      <c r="AJ53" s="33"/>
      <c r="AK53" s="33"/>
      <c r="AL53" s="33"/>
      <c r="AM53" s="33"/>
      <c r="AQ53" s="6" t="s">
        <v>56</v>
      </c>
      <c r="AR53" s="5" t="s">
        <v>275</v>
      </c>
      <c r="AS53" s="186" t="s">
        <v>253</v>
      </c>
      <c r="AT53" s="187" t="s">
        <v>403</v>
      </c>
      <c r="AU53" s="187">
        <v>2</v>
      </c>
      <c r="AV53" s="188">
        <v>0</v>
      </c>
      <c r="AW53" s="188">
        <v>0</v>
      </c>
      <c r="AX53" s="188">
        <v>0</v>
      </c>
      <c r="AY53" s="188">
        <v>0</v>
      </c>
      <c r="AZ53" s="188">
        <v>1</v>
      </c>
      <c r="BA53" s="188">
        <v>2</v>
      </c>
      <c r="BB53" s="188">
        <v>1</v>
      </c>
      <c r="BC53" s="188">
        <v>3</v>
      </c>
      <c r="BD53" s="188">
        <v>1</v>
      </c>
      <c r="BE53" s="188">
        <v>4</v>
      </c>
      <c r="BF53" s="187" t="s">
        <v>329</v>
      </c>
      <c r="BG53" s="187" t="s">
        <v>415</v>
      </c>
      <c r="BH53" s="187" t="s">
        <v>878</v>
      </c>
      <c r="BI53" s="187" t="s">
        <v>363</v>
      </c>
      <c r="BJ53" s="187" t="s">
        <v>130</v>
      </c>
      <c r="BK53" s="187" t="s">
        <v>135</v>
      </c>
      <c r="BL53" s="187" t="s">
        <v>127</v>
      </c>
      <c r="BM53" s="187" t="s">
        <v>145</v>
      </c>
      <c r="BN53" s="187" t="s">
        <v>425</v>
      </c>
      <c r="BO53" s="187" t="s">
        <v>142</v>
      </c>
      <c r="BP53" s="187" t="s">
        <v>669</v>
      </c>
      <c r="BQ53" s="187" t="s">
        <v>148</v>
      </c>
      <c r="BR53" s="195" t="s">
        <v>787</v>
      </c>
      <c r="BU53" s="261" t="s">
        <v>633</v>
      </c>
      <c r="BV53" s="259" t="s">
        <v>635</v>
      </c>
      <c r="BW53" s="259" t="s">
        <v>543</v>
      </c>
      <c r="BX53" s="259" t="s">
        <v>570</v>
      </c>
      <c r="BY53" s="259" t="s">
        <v>583</v>
      </c>
      <c r="BZ53" s="258">
        <f ca="1">ROUNDDOWN('Feuille Personnage'!D10/10,0)</f>
        <v>3</v>
      </c>
      <c r="CA53" s="259" t="s">
        <v>570</v>
      </c>
      <c r="CB53" s="259" t="s">
        <v>753</v>
      </c>
      <c r="CC53" s="259" t="s">
        <v>638</v>
      </c>
      <c r="CD53" s="259"/>
      <c r="CE53" s="260"/>
      <c r="CF53" s="261" t="s">
        <v>760</v>
      </c>
      <c r="CG53" s="227" t="s">
        <v>4</v>
      </c>
      <c r="CH53" s="227" t="str">
        <f t="shared" si="2"/>
        <v>Explosion 4, Dangereuse</v>
      </c>
      <c r="CI53" s="235" t="str">
        <f t="shared" si="5"/>
        <v>A Distance (Explosif)</v>
      </c>
    </row>
    <row r="54" spans="3:87" ht="18">
      <c r="C54" t="str">
        <f t="shared" si="4"/>
        <v xml:space="preserve">Éclaireur </v>
      </c>
      <c r="W54" s="64" t="s">
        <v>191</v>
      </c>
      <c r="X54" s="65" t="s">
        <v>10</v>
      </c>
      <c r="Z54" s="31"/>
      <c r="AA54" s="31"/>
      <c r="AB54" s="31"/>
      <c r="AC54" s="31"/>
      <c r="AD54" s="31"/>
      <c r="AE54" s="33"/>
      <c r="AF54" s="33"/>
      <c r="AG54" s="32"/>
      <c r="AH54" s="33"/>
      <c r="AI54" s="33"/>
      <c r="AJ54" s="33"/>
      <c r="AK54" s="33"/>
      <c r="AL54" s="33"/>
      <c r="AM54" s="33"/>
      <c r="AQ54" s="6" t="s">
        <v>57</v>
      </c>
      <c r="AR54" s="5" t="s">
        <v>275</v>
      </c>
      <c r="AS54" s="186" t="s">
        <v>254</v>
      </c>
      <c r="AT54" s="187" t="s">
        <v>403</v>
      </c>
      <c r="AU54" s="187">
        <v>3</v>
      </c>
      <c r="AV54" s="188">
        <v>1</v>
      </c>
      <c r="AW54" s="188">
        <v>0</v>
      </c>
      <c r="AX54" s="188">
        <v>2</v>
      </c>
      <c r="AY54" s="188">
        <v>1</v>
      </c>
      <c r="AZ54" s="189">
        <v>0</v>
      </c>
      <c r="BA54" s="189">
        <v>1</v>
      </c>
      <c r="BB54" s="189">
        <v>0</v>
      </c>
      <c r="BC54" s="188">
        <v>4</v>
      </c>
      <c r="BD54" s="188">
        <v>3</v>
      </c>
      <c r="BE54" s="188">
        <v>0</v>
      </c>
      <c r="BF54" s="187" t="s">
        <v>391</v>
      </c>
      <c r="BG54" s="187" t="s">
        <v>363</v>
      </c>
      <c r="BH54" s="187" t="s">
        <v>114</v>
      </c>
      <c r="BI54" s="187" t="s">
        <v>370</v>
      </c>
      <c r="BJ54" s="187" t="s">
        <v>130</v>
      </c>
      <c r="BK54" s="187" t="s">
        <v>72</v>
      </c>
      <c r="BL54" s="187" t="s">
        <v>145</v>
      </c>
      <c r="BM54" s="187" t="s">
        <v>138</v>
      </c>
      <c r="BN54" s="187" t="s">
        <v>211</v>
      </c>
      <c r="BO54" s="187" t="s">
        <v>133</v>
      </c>
      <c r="BP54" s="187" t="s">
        <v>184</v>
      </c>
      <c r="BQ54" s="187" t="s">
        <v>148</v>
      </c>
      <c r="BR54" s="195" t="s">
        <v>719</v>
      </c>
      <c r="BU54" s="261" t="s">
        <v>639</v>
      </c>
      <c r="BV54" s="259" t="s">
        <v>639</v>
      </c>
      <c r="BW54" s="259" t="s">
        <v>570</v>
      </c>
      <c r="BX54" s="259" t="s">
        <v>570</v>
      </c>
      <c r="BY54" s="259" t="s">
        <v>521</v>
      </c>
      <c r="BZ54" s="258" t="s">
        <v>615</v>
      </c>
      <c r="CA54" s="259" t="s">
        <v>641</v>
      </c>
      <c r="CB54" s="259"/>
      <c r="CC54" s="259"/>
      <c r="CD54" s="259"/>
      <c r="CE54" s="260"/>
      <c r="CF54" s="261" t="s">
        <v>641</v>
      </c>
      <c r="CG54" s="227" t="s">
        <v>4</v>
      </c>
      <c r="CH54" s="227" t="str">
        <f t="shared" si="2"/>
        <v/>
      </c>
      <c r="CI54" s="235" t="str">
        <f t="shared" si="5"/>
        <v>A Distance (Fronde)</v>
      </c>
    </row>
    <row r="55" spans="3:87" ht="18">
      <c r="C55" t="str">
        <f t="shared" si="4"/>
        <v xml:space="preserve">Emissaire </v>
      </c>
      <c r="W55" s="64" t="s">
        <v>300</v>
      </c>
      <c r="X55" s="65" t="s">
        <v>10</v>
      </c>
      <c r="Z55" s="31"/>
      <c r="AA55" s="31"/>
      <c r="AB55" s="31"/>
      <c r="AC55" s="31"/>
      <c r="AD55" s="31"/>
      <c r="AE55" s="33"/>
      <c r="AF55" s="33"/>
      <c r="AG55" s="32"/>
      <c r="AH55" s="33"/>
      <c r="AI55" s="33"/>
      <c r="AJ55" s="33"/>
      <c r="AK55" s="33"/>
      <c r="AL55" s="33"/>
      <c r="AM55" s="33"/>
      <c r="AQ55" s="6" t="s">
        <v>276</v>
      </c>
      <c r="AR55" s="5" t="s">
        <v>275</v>
      </c>
      <c r="AS55" s="186" t="s">
        <v>252</v>
      </c>
      <c r="AT55" s="187" t="s">
        <v>404</v>
      </c>
      <c r="AU55" s="187">
        <v>1</v>
      </c>
      <c r="AV55" s="188">
        <v>2</v>
      </c>
      <c r="AW55" s="188">
        <v>0</v>
      </c>
      <c r="AX55" s="188">
        <v>0</v>
      </c>
      <c r="AY55" s="188">
        <v>0</v>
      </c>
      <c r="AZ55" s="188">
        <v>1</v>
      </c>
      <c r="BA55" s="188">
        <v>3</v>
      </c>
      <c r="BB55" s="188">
        <v>1</v>
      </c>
      <c r="BC55" s="188">
        <v>4</v>
      </c>
      <c r="BD55" s="188">
        <v>0</v>
      </c>
      <c r="BE55" s="188">
        <v>1</v>
      </c>
      <c r="BF55" s="187" t="s">
        <v>415</v>
      </c>
      <c r="BG55" s="187" t="s">
        <v>875</v>
      </c>
      <c r="BH55" s="187" t="s">
        <v>363</v>
      </c>
      <c r="BI55" s="187" t="s">
        <v>369</v>
      </c>
      <c r="BJ55" s="187" t="s">
        <v>72</v>
      </c>
      <c r="BK55" s="187" t="s">
        <v>145</v>
      </c>
      <c r="BL55" s="187" t="s">
        <v>140</v>
      </c>
      <c r="BM55" s="187" t="s">
        <v>133</v>
      </c>
      <c r="BN55" s="187" t="s">
        <v>425</v>
      </c>
      <c r="BO55" s="187" t="s">
        <v>684</v>
      </c>
      <c r="BP55" s="187" t="s">
        <v>142</v>
      </c>
      <c r="BQ55" s="187" t="s">
        <v>148</v>
      </c>
      <c r="BR55" s="195" t="s">
        <v>682</v>
      </c>
      <c r="BU55" s="261" t="s">
        <v>639</v>
      </c>
      <c r="BV55" s="259" t="s">
        <v>640</v>
      </c>
      <c r="BW55" s="259" t="s">
        <v>596</v>
      </c>
      <c r="BX55" s="259" t="s">
        <v>596</v>
      </c>
      <c r="BY55" s="259" t="s">
        <v>583</v>
      </c>
      <c r="BZ55" s="258" t="s">
        <v>617</v>
      </c>
      <c r="CA55" s="259" t="s">
        <v>622</v>
      </c>
      <c r="CB55" s="259"/>
      <c r="CC55" s="259"/>
      <c r="CD55" s="259"/>
      <c r="CE55" s="260"/>
      <c r="CF55" s="261" t="s">
        <v>622</v>
      </c>
      <c r="CG55" s="227" t="s">
        <v>4</v>
      </c>
      <c r="CH55" s="227" t="str">
        <f t="shared" si="2"/>
        <v/>
      </c>
      <c r="CI55" s="235" t="str">
        <f t="shared" si="5"/>
        <v>A Distance (Fronde)</v>
      </c>
    </row>
    <row r="56" spans="3:87" ht="18">
      <c r="C56" t="str">
        <f t="shared" si="4"/>
        <v xml:space="preserve">Enquêteur </v>
      </c>
      <c r="W56" s="62" t="s">
        <v>105</v>
      </c>
      <c r="X56" s="65" t="s">
        <v>10</v>
      </c>
      <c r="Z56" s="31"/>
      <c r="AA56" s="31"/>
      <c r="AB56" s="31"/>
      <c r="AC56" s="31"/>
      <c r="AD56" s="31"/>
      <c r="AE56" s="33"/>
      <c r="AF56" s="33"/>
      <c r="AG56" s="32"/>
      <c r="AH56" s="33"/>
      <c r="AI56" s="33"/>
      <c r="AJ56" s="33"/>
      <c r="AK56" s="33"/>
      <c r="AL56" s="33"/>
      <c r="AM56" s="33"/>
      <c r="AQ56" s="6" t="s">
        <v>58</v>
      </c>
      <c r="AR56" s="5" t="s">
        <v>275</v>
      </c>
      <c r="AS56" s="186" t="s">
        <v>255</v>
      </c>
      <c r="AT56" s="187" t="s">
        <v>403</v>
      </c>
      <c r="AU56" s="187">
        <v>2</v>
      </c>
      <c r="AV56" s="188">
        <v>1</v>
      </c>
      <c r="AW56" s="188">
        <v>3</v>
      </c>
      <c r="AX56" s="188">
        <v>1</v>
      </c>
      <c r="AY56" s="188">
        <v>0</v>
      </c>
      <c r="AZ56" s="189">
        <v>0</v>
      </c>
      <c r="BA56" s="189">
        <v>1</v>
      </c>
      <c r="BB56" s="189">
        <v>0</v>
      </c>
      <c r="BC56" s="188">
        <v>0</v>
      </c>
      <c r="BD56" s="188">
        <v>2</v>
      </c>
      <c r="BE56" s="188">
        <v>4</v>
      </c>
      <c r="BF56" s="187" t="s">
        <v>426</v>
      </c>
      <c r="BG56" s="187" t="s">
        <v>329</v>
      </c>
      <c r="BH56" s="187" t="s">
        <v>415</v>
      </c>
      <c r="BI56" s="187" t="s">
        <v>363</v>
      </c>
      <c r="BJ56" s="187" t="s">
        <v>72</v>
      </c>
      <c r="BK56" s="187" t="s">
        <v>145</v>
      </c>
      <c r="BL56" s="187" t="s">
        <v>138</v>
      </c>
      <c r="BM56" s="187" t="s">
        <v>211</v>
      </c>
      <c r="BN56" s="187" t="s">
        <v>425</v>
      </c>
      <c r="BO56" s="187" t="s">
        <v>184</v>
      </c>
      <c r="BP56" s="187" t="s">
        <v>146</v>
      </c>
      <c r="BQ56" s="187" t="s">
        <v>148</v>
      </c>
      <c r="BR56" s="195" t="s">
        <v>788</v>
      </c>
      <c r="BU56" s="261" t="s">
        <v>642</v>
      </c>
      <c r="BV56" s="259" t="s">
        <v>643</v>
      </c>
      <c r="BW56" s="259" t="s">
        <v>595</v>
      </c>
      <c r="BX56" s="259" t="s">
        <v>570</v>
      </c>
      <c r="BY56" s="259" t="s">
        <v>544</v>
      </c>
      <c r="BZ56" s="258">
        <f ca="1">ROUNDDOWN('Feuille Personnage'!D10/10,0)*3</f>
        <v>9</v>
      </c>
      <c r="CA56" s="259" t="s">
        <v>636</v>
      </c>
      <c r="CB56" s="259" t="s">
        <v>632</v>
      </c>
      <c r="CC56" s="259"/>
      <c r="CD56" s="259"/>
      <c r="CE56" s="260"/>
      <c r="CF56" s="261">
        <v>0</v>
      </c>
      <c r="CG56" s="227" t="s">
        <v>4</v>
      </c>
      <c r="CH56" s="227" t="str">
        <f t="shared" si="2"/>
        <v>Immobilisante</v>
      </c>
      <c r="CI56" s="235" t="str">
        <f t="shared" si="5"/>
        <v>A Distance (Lancer)</v>
      </c>
    </row>
    <row r="57" spans="3:87" ht="18">
      <c r="C57" t="str">
        <f t="shared" si="4"/>
        <v xml:space="preserve">Entremetteur </v>
      </c>
      <c r="W57" s="62" t="s">
        <v>322</v>
      </c>
      <c r="X57" s="65" t="s">
        <v>3</v>
      </c>
      <c r="Z57" s="31"/>
      <c r="AA57" s="31"/>
      <c r="AB57" s="31"/>
      <c r="AC57" s="31"/>
      <c r="AD57" s="31"/>
      <c r="AE57" s="33"/>
      <c r="AF57" s="33"/>
      <c r="AG57" s="32"/>
      <c r="AH57" s="33"/>
      <c r="AI57" s="33"/>
      <c r="AJ57" s="33"/>
      <c r="AK57" s="33"/>
      <c r="AL57" s="33"/>
      <c r="AM57" s="33"/>
      <c r="AQ57" s="6" t="s">
        <v>55</v>
      </c>
      <c r="AR57" s="5" t="s">
        <v>275</v>
      </c>
      <c r="AS57" s="186" t="s">
        <v>250</v>
      </c>
      <c r="AT57" s="187" t="s">
        <v>403</v>
      </c>
      <c r="AU57" s="187">
        <v>2</v>
      </c>
      <c r="AV57" s="188">
        <v>2</v>
      </c>
      <c r="AW57" s="188">
        <v>1</v>
      </c>
      <c r="AX57" s="188">
        <v>1</v>
      </c>
      <c r="AY57" s="188">
        <v>0</v>
      </c>
      <c r="AZ57" s="188">
        <v>0</v>
      </c>
      <c r="BA57" s="188">
        <v>3</v>
      </c>
      <c r="BB57" s="188">
        <v>0</v>
      </c>
      <c r="BC57" s="188">
        <v>4</v>
      </c>
      <c r="BD57" s="188">
        <v>0</v>
      </c>
      <c r="BE57" s="188">
        <v>1</v>
      </c>
      <c r="BF57" s="187" t="s">
        <v>369</v>
      </c>
      <c r="BG57" s="187" t="s">
        <v>363</v>
      </c>
      <c r="BH57" s="187" t="s">
        <v>370</v>
      </c>
      <c r="BI57" s="187" t="s">
        <v>416</v>
      </c>
      <c r="BJ57" s="187" t="s">
        <v>130</v>
      </c>
      <c r="BK57" s="187" t="s">
        <v>138</v>
      </c>
      <c r="BL57" s="187" t="s">
        <v>211</v>
      </c>
      <c r="BM57" s="187" t="s">
        <v>184</v>
      </c>
      <c r="BN57" s="187" t="s">
        <v>75</v>
      </c>
      <c r="BO57" s="187" t="s">
        <v>425</v>
      </c>
      <c r="BP57" s="187" t="s">
        <v>142</v>
      </c>
      <c r="BQ57" s="187" t="s">
        <v>148</v>
      </c>
      <c r="BR57" s="195" t="s">
        <v>825</v>
      </c>
      <c r="BU57" s="261" t="s">
        <v>642</v>
      </c>
      <c r="BV57" s="259" t="s">
        <v>644</v>
      </c>
      <c r="BW57" s="259" t="s">
        <v>564</v>
      </c>
      <c r="BX57" s="259" t="s">
        <v>570</v>
      </c>
      <c r="BY57" s="259" t="s">
        <v>521</v>
      </c>
      <c r="BZ57" s="258">
        <f ca="1">ROUNDDOWN('Feuille Personnage'!$D$10/10,0)*2</f>
        <v>6</v>
      </c>
      <c r="CA57" s="259" t="s">
        <v>550</v>
      </c>
      <c r="CB57" s="259"/>
      <c r="CC57" s="259"/>
      <c r="CD57" s="259"/>
      <c r="CE57" s="260"/>
      <c r="CF57" s="261">
        <v>2</v>
      </c>
      <c r="CG57" s="227" t="s">
        <v>4</v>
      </c>
      <c r="CH57" s="227" t="str">
        <f t="shared" si="2"/>
        <v/>
      </c>
      <c r="CI57" s="235" t="str">
        <f t="shared" si="5"/>
        <v>A Distance (Lancer)</v>
      </c>
    </row>
    <row r="58" spans="3:87" ht="18">
      <c r="C58" t="str">
        <f t="shared" si="4"/>
        <v xml:space="preserve">Érudit </v>
      </c>
      <c r="W58" s="6" t="s">
        <v>684</v>
      </c>
      <c r="X58" s="7" t="s">
        <v>3</v>
      </c>
      <c r="Z58" s="31"/>
      <c r="AA58" s="31"/>
      <c r="AB58" s="31"/>
      <c r="AC58" s="31"/>
      <c r="AD58" s="31"/>
      <c r="AE58" s="33"/>
      <c r="AF58" s="33"/>
      <c r="AG58" s="32"/>
      <c r="AH58" s="33"/>
      <c r="AI58" s="33"/>
      <c r="AJ58" s="33"/>
      <c r="AK58" s="33"/>
      <c r="AL58" s="33"/>
      <c r="AM58" s="33"/>
      <c r="AQ58" s="6" t="s">
        <v>284</v>
      </c>
      <c r="AR58" s="5" t="s">
        <v>275</v>
      </c>
      <c r="AS58" s="186" t="s">
        <v>249</v>
      </c>
      <c r="AT58" s="187" t="s">
        <v>403</v>
      </c>
      <c r="AU58" s="187">
        <v>4</v>
      </c>
      <c r="AV58" s="188">
        <v>1</v>
      </c>
      <c r="AW58" s="188">
        <v>0</v>
      </c>
      <c r="AX58" s="188">
        <v>0</v>
      </c>
      <c r="AY58" s="188">
        <v>1</v>
      </c>
      <c r="AZ58" s="189">
        <v>0</v>
      </c>
      <c r="BA58" s="189">
        <v>1</v>
      </c>
      <c r="BB58" s="189">
        <v>0</v>
      </c>
      <c r="BC58" s="188">
        <v>3</v>
      </c>
      <c r="BD58" s="188">
        <v>2</v>
      </c>
      <c r="BE58" s="188">
        <v>4</v>
      </c>
      <c r="BF58" s="187" t="s">
        <v>415</v>
      </c>
      <c r="BG58" s="187" t="s">
        <v>177</v>
      </c>
      <c r="BH58" s="187" t="s">
        <v>99</v>
      </c>
      <c r="BI58" s="187" t="s">
        <v>416</v>
      </c>
      <c r="BJ58" s="187" t="s">
        <v>145</v>
      </c>
      <c r="BK58" s="187" t="s">
        <v>133</v>
      </c>
      <c r="BL58" s="187" t="s">
        <v>74</v>
      </c>
      <c r="BM58" s="187" t="s">
        <v>309</v>
      </c>
      <c r="BN58" s="187" t="s">
        <v>856</v>
      </c>
      <c r="BO58" s="187" t="s">
        <v>75</v>
      </c>
      <c r="BP58" s="187" t="s">
        <v>425</v>
      </c>
      <c r="BQ58" s="187" t="s">
        <v>148</v>
      </c>
      <c r="BR58" s="195" t="s">
        <v>789</v>
      </c>
      <c r="BU58" s="261" t="s">
        <v>642</v>
      </c>
      <c r="BV58" s="259" t="s">
        <v>645</v>
      </c>
      <c r="BW58" s="259" t="s">
        <v>649</v>
      </c>
      <c r="BX58" s="259" t="s">
        <v>570</v>
      </c>
      <c r="BY58" s="259" t="s">
        <v>583</v>
      </c>
      <c r="BZ58" s="258">
        <f ca="1">ROUNDDOWN('Feuille Personnage'!$D$10/10,0)*2</f>
        <v>6</v>
      </c>
      <c r="CA58" s="259" t="s">
        <v>549</v>
      </c>
      <c r="CB58" s="259" t="s">
        <v>556</v>
      </c>
      <c r="CC58" s="259"/>
      <c r="CD58" s="259"/>
      <c r="CE58" s="260"/>
      <c r="CF58" s="261">
        <v>1</v>
      </c>
      <c r="CG58" s="227" t="s">
        <v>4</v>
      </c>
      <c r="CH58" s="227" t="str">
        <f t="shared" si="2"/>
        <v>Empaleuse</v>
      </c>
      <c r="CI58" s="235" t="str">
        <f t="shared" si="5"/>
        <v>A Distance (Lancer)</v>
      </c>
    </row>
    <row r="59" spans="3:87" ht="18">
      <c r="C59" t="str">
        <f t="shared" si="4"/>
        <v xml:space="preserve">Espion </v>
      </c>
      <c r="W59" s="6" t="s">
        <v>721</v>
      </c>
      <c r="X59" s="7" t="s">
        <v>3</v>
      </c>
      <c r="Z59" s="31"/>
      <c r="AA59" s="31"/>
      <c r="AB59" s="31"/>
      <c r="AC59" s="31"/>
      <c r="AD59" s="31"/>
      <c r="AE59" s="33"/>
      <c r="AF59" s="33"/>
      <c r="AG59" s="32"/>
      <c r="AH59" s="33"/>
      <c r="AI59" s="33"/>
      <c r="AJ59" s="33"/>
      <c r="AK59" s="33"/>
      <c r="AL59" s="33"/>
      <c r="AM59" s="33"/>
      <c r="AQ59" s="6" t="s">
        <v>285</v>
      </c>
      <c r="AR59" s="5" t="s">
        <v>275</v>
      </c>
      <c r="AS59" s="186" t="s">
        <v>251</v>
      </c>
      <c r="AT59" s="187" t="s">
        <v>404</v>
      </c>
      <c r="AU59" s="187">
        <v>1</v>
      </c>
      <c r="AV59" s="188">
        <v>2</v>
      </c>
      <c r="AW59" s="188">
        <v>0</v>
      </c>
      <c r="AX59" s="188">
        <v>0</v>
      </c>
      <c r="AY59" s="188">
        <v>1</v>
      </c>
      <c r="AZ59" s="188">
        <v>1</v>
      </c>
      <c r="BA59" s="188">
        <v>3</v>
      </c>
      <c r="BB59" s="188">
        <v>1</v>
      </c>
      <c r="BC59" s="188">
        <v>0</v>
      </c>
      <c r="BD59" s="188">
        <v>0</v>
      </c>
      <c r="BE59" s="188">
        <v>4</v>
      </c>
      <c r="BF59" s="187" t="s">
        <v>415</v>
      </c>
      <c r="BG59" s="187" t="s">
        <v>301</v>
      </c>
      <c r="BH59" s="187" t="s">
        <v>878</v>
      </c>
      <c r="BI59" s="187" t="s">
        <v>369</v>
      </c>
      <c r="BJ59" s="187" t="s">
        <v>130</v>
      </c>
      <c r="BK59" s="187" t="s">
        <v>145</v>
      </c>
      <c r="BL59" s="187" t="s">
        <v>138</v>
      </c>
      <c r="BM59" s="187" t="s">
        <v>211</v>
      </c>
      <c r="BN59" s="187" t="s">
        <v>133</v>
      </c>
      <c r="BO59" s="187" t="s">
        <v>146</v>
      </c>
      <c r="BP59" s="187" t="s">
        <v>425</v>
      </c>
      <c r="BQ59" s="187" t="s">
        <v>148</v>
      </c>
      <c r="BR59" s="195" t="s">
        <v>838</v>
      </c>
      <c r="BU59" s="261" t="s">
        <v>642</v>
      </c>
      <c r="BV59" s="259" t="s">
        <v>646</v>
      </c>
      <c r="BW59" s="259" t="s">
        <v>543</v>
      </c>
      <c r="BX59" s="259" t="s">
        <v>590</v>
      </c>
      <c r="BY59" s="259" t="s">
        <v>521</v>
      </c>
      <c r="BZ59" s="258">
        <f ca="1">ROUNDDOWN('Feuille Personnage'!$D$10/10,0)*2</f>
        <v>6</v>
      </c>
      <c r="CA59" s="259" t="s">
        <v>551</v>
      </c>
      <c r="CB59" s="259" t="s">
        <v>428</v>
      </c>
      <c r="CC59" s="259"/>
      <c r="CD59" s="259"/>
      <c r="CE59" s="260"/>
      <c r="CF59" s="261">
        <v>3</v>
      </c>
      <c r="CG59" s="227" t="s">
        <v>4</v>
      </c>
      <c r="CH59" s="227" t="str">
        <f t="shared" si="2"/>
        <v>Taille</v>
      </c>
      <c r="CI59" s="235" t="str">
        <f t="shared" si="5"/>
        <v>A Distance (Lancer)</v>
      </c>
    </row>
    <row r="60" spans="3:87" ht="18">
      <c r="C60" t="str">
        <f t="shared" si="4"/>
        <v xml:space="preserve">Femme du fleuve </v>
      </c>
      <c r="W60" s="6" t="s">
        <v>722</v>
      </c>
      <c r="X60" s="7" t="s">
        <v>3</v>
      </c>
      <c r="Z60" s="31"/>
      <c r="AA60" s="31"/>
      <c r="AB60" s="31"/>
      <c r="AC60" s="31"/>
      <c r="AD60" s="31"/>
      <c r="AE60" s="33"/>
      <c r="AF60" s="33"/>
      <c r="AG60" s="32"/>
      <c r="AH60" s="33"/>
      <c r="AI60" s="33"/>
      <c r="AJ60" s="33"/>
      <c r="AK60" s="33"/>
      <c r="AL60" s="33"/>
      <c r="AM60" s="33"/>
      <c r="AQ60" s="6" t="s">
        <v>59</v>
      </c>
      <c r="AR60" s="5" t="s">
        <v>277</v>
      </c>
      <c r="AS60" s="186" t="s">
        <v>59</v>
      </c>
      <c r="AT60" s="187" t="s">
        <v>403</v>
      </c>
      <c r="AU60" s="187">
        <v>3</v>
      </c>
      <c r="AV60" s="188">
        <v>0</v>
      </c>
      <c r="AW60" s="188">
        <v>0</v>
      </c>
      <c r="AX60" s="188">
        <v>0</v>
      </c>
      <c r="AY60" s="188">
        <v>0</v>
      </c>
      <c r="AZ60" s="189">
        <v>3</v>
      </c>
      <c r="BA60" s="189">
        <v>1</v>
      </c>
      <c r="BB60" s="189">
        <v>1</v>
      </c>
      <c r="BC60" s="188">
        <v>4</v>
      </c>
      <c r="BD60" s="188">
        <v>2</v>
      </c>
      <c r="BE60" s="188">
        <v>1</v>
      </c>
      <c r="BF60" s="187" t="s">
        <v>366</v>
      </c>
      <c r="BG60" s="187" t="s">
        <v>368</v>
      </c>
      <c r="BH60" s="187" t="s">
        <v>858</v>
      </c>
      <c r="BI60" s="187" t="s">
        <v>292</v>
      </c>
      <c r="BJ60" s="187" t="s">
        <v>135</v>
      </c>
      <c r="BK60" s="187" t="s">
        <v>145</v>
      </c>
      <c r="BL60" s="187" t="s">
        <v>132</v>
      </c>
      <c r="BM60" s="187" t="s">
        <v>849</v>
      </c>
      <c r="BN60" s="187" t="s">
        <v>140</v>
      </c>
      <c r="BO60" s="187" t="s">
        <v>133</v>
      </c>
      <c r="BP60" s="187" t="s">
        <v>126</v>
      </c>
      <c r="BQ60" s="187" t="s">
        <v>147</v>
      </c>
      <c r="BR60" s="195" t="s">
        <v>790</v>
      </c>
      <c r="BU60" s="261" t="s">
        <v>642</v>
      </c>
      <c r="BV60" s="259" t="s">
        <v>647</v>
      </c>
      <c r="BW60" s="259" t="s">
        <v>650</v>
      </c>
      <c r="BX60" s="259" t="s">
        <v>590</v>
      </c>
      <c r="BY60" s="259" t="s">
        <v>583</v>
      </c>
      <c r="BZ60" s="258">
        <f ca="1">ROUNDDOWN('Feuille Personnage'!$D$10/10,0)*3</f>
        <v>9</v>
      </c>
      <c r="CA60" s="259" t="s">
        <v>551</v>
      </c>
      <c r="CB60" s="259" t="s">
        <v>556</v>
      </c>
      <c r="CC60" s="259"/>
      <c r="CD60" s="259"/>
      <c r="CE60" s="260"/>
      <c r="CF60" s="261">
        <v>3</v>
      </c>
      <c r="CG60" s="227" t="s">
        <v>4</v>
      </c>
      <c r="CH60" s="227" t="str">
        <f t="shared" si="2"/>
        <v>Empaleuse</v>
      </c>
      <c r="CI60" s="235" t="str">
        <f t="shared" si="5"/>
        <v>A Distance (Lancer)</v>
      </c>
    </row>
    <row r="61" spans="3:87" ht="18">
      <c r="C61" t="str">
        <f t="shared" si="4"/>
        <v xml:space="preserve">Flagellant </v>
      </c>
      <c r="W61" s="6" t="s">
        <v>724</v>
      </c>
      <c r="X61" s="7" t="s">
        <v>3</v>
      </c>
      <c r="Z61" s="31"/>
      <c r="AA61" s="31"/>
      <c r="AB61" s="31"/>
      <c r="AC61" s="31"/>
      <c r="AD61" s="31"/>
      <c r="AE61" s="33"/>
      <c r="AF61" s="33"/>
      <c r="AG61" s="32"/>
      <c r="AH61" s="33"/>
      <c r="AI61" s="33"/>
      <c r="AJ61" s="33"/>
      <c r="AK61" s="33"/>
      <c r="AL61" s="33"/>
      <c r="AM61" s="33"/>
      <c r="AQ61" s="6" t="s">
        <v>62</v>
      </c>
      <c r="AR61" s="5" t="s">
        <v>277</v>
      </c>
      <c r="AS61" s="186" t="s">
        <v>259</v>
      </c>
      <c r="AT61" s="187" t="s">
        <v>403</v>
      </c>
      <c r="AU61" s="187">
        <v>1</v>
      </c>
      <c r="AV61" s="188">
        <v>1</v>
      </c>
      <c r="AW61" s="188">
        <v>2</v>
      </c>
      <c r="AX61" s="188">
        <v>1</v>
      </c>
      <c r="AY61" s="188">
        <v>1</v>
      </c>
      <c r="AZ61" s="188">
        <v>0</v>
      </c>
      <c r="BA61" s="188">
        <v>3</v>
      </c>
      <c r="BB61" s="188">
        <v>0</v>
      </c>
      <c r="BC61" s="188">
        <v>0</v>
      </c>
      <c r="BD61" s="188">
        <v>0</v>
      </c>
      <c r="BE61" s="188">
        <v>4</v>
      </c>
      <c r="BF61" s="187" t="s">
        <v>388</v>
      </c>
      <c r="BG61" s="187" t="s">
        <v>329</v>
      </c>
      <c r="BH61" s="187" t="s">
        <v>348</v>
      </c>
      <c r="BI61" s="187" t="s">
        <v>367</v>
      </c>
      <c r="BJ61" s="187" t="s">
        <v>130</v>
      </c>
      <c r="BK61" s="187" t="s">
        <v>145</v>
      </c>
      <c r="BL61" s="187" t="s">
        <v>127</v>
      </c>
      <c r="BM61" s="187" t="s">
        <v>211</v>
      </c>
      <c r="BN61" s="187" t="s">
        <v>140</v>
      </c>
      <c r="BO61" s="187" t="s">
        <v>139</v>
      </c>
      <c r="BP61" s="187" t="s">
        <v>184</v>
      </c>
      <c r="BQ61" s="187" t="s">
        <v>146</v>
      </c>
      <c r="BR61" s="195" t="s">
        <v>833</v>
      </c>
      <c r="BU61" s="261" t="s">
        <v>642</v>
      </c>
      <c r="BV61" s="259" t="s">
        <v>648</v>
      </c>
      <c r="BW61" s="259" t="s">
        <v>570</v>
      </c>
      <c r="BX61" s="259" t="s">
        <v>570</v>
      </c>
      <c r="BY61" s="259" t="s">
        <v>521</v>
      </c>
      <c r="BZ61" s="258">
        <f ca="1">ROUNDDOWN('Feuille Personnage'!$D$10/10,0)*3</f>
        <v>9</v>
      </c>
      <c r="CA61" s="259" t="s">
        <v>636</v>
      </c>
      <c r="CB61" s="227"/>
      <c r="CC61" s="227"/>
      <c r="CD61" s="227"/>
      <c r="CE61" s="260"/>
      <c r="CF61" s="261">
        <v>0</v>
      </c>
      <c r="CG61" s="227" t="s">
        <v>4</v>
      </c>
      <c r="CH61" s="227" t="str">
        <f t="shared" si="2"/>
        <v/>
      </c>
      <c r="CI61" s="235" t="str">
        <f t="shared" si="5"/>
        <v>A Distance (Lancer)</v>
      </c>
    </row>
    <row r="62" spans="3:87" ht="18">
      <c r="C62" t="str">
        <f t="shared" si="4"/>
        <v xml:space="preserve">Garde </v>
      </c>
      <c r="W62" s="6" t="s">
        <v>720</v>
      </c>
      <c r="X62" s="7" t="s">
        <v>3</v>
      </c>
      <c r="Z62" s="31"/>
      <c r="AA62" s="31"/>
      <c r="AB62" s="31"/>
      <c r="AC62" s="31"/>
      <c r="AD62" s="31"/>
      <c r="AE62" s="33"/>
      <c r="AF62" s="33"/>
      <c r="AG62" s="32"/>
      <c r="AH62" s="33"/>
      <c r="AI62" s="33"/>
      <c r="AJ62" s="33"/>
      <c r="AK62" s="33"/>
      <c r="AL62" s="33"/>
      <c r="AM62" s="33"/>
      <c r="AQ62" s="6" t="s">
        <v>61</v>
      </c>
      <c r="AR62" s="5" t="s">
        <v>277</v>
      </c>
      <c r="AS62" s="186" t="s">
        <v>258</v>
      </c>
      <c r="AT62" s="187" t="s">
        <v>403</v>
      </c>
      <c r="AU62" s="187">
        <v>2</v>
      </c>
      <c r="AV62" s="188">
        <v>2</v>
      </c>
      <c r="AW62" s="188">
        <v>0</v>
      </c>
      <c r="AX62" s="188">
        <v>1</v>
      </c>
      <c r="AY62" s="188">
        <v>0</v>
      </c>
      <c r="AZ62" s="189">
        <v>0</v>
      </c>
      <c r="BA62" s="189">
        <v>1</v>
      </c>
      <c r="BB62" s="189">
        <v>3</v>
      </c>
      <c r="BC62" s="188">
        <v>4</v>
      </c>
      <c r="BD62" s="188">
        <v>1</v>
      </c>
      <c r="BE62" s="188">
        <v>0</v>
      </c>
      <c r="BF62" s="187" t="s">
        <v>330</v>
      </c>
      <c r="BG62" s="187" t="s">
        <v>329</v>
      </c>
      <c r="BH62" s="187" t="s">
        <v>367</v>
      </c>
      <c r="BI62" s="187" t="s">
        <v>363</v>
      </c>
      <c r="BJ62" s="187" t="s">
        <v>72</v>
      </c>
      <c r="BK62" s="187" t="s">
        <v>127</v>
      </c>
      <c r="BL62" s="187" t="s">
        <v>138</v>
      </c>
      <c r="BM62" s="187" t="s">
        <v>211</v>
      </c>
      <c r="BN62" s="187" t="s">
        <v>133</v>
      </c>
      <c r="BO62" s="187" t="s">
        <v>74</v>
      </c>
      <c r="BP62" s="187" t="s">
        <v>75</v>
      </c>
      <c r="BQ62" s="187" t="s">
        <v>319</v>
      </c>
      <c r="BR62" s="195" t="s">
        <v>839</v>
      </c>
      <c r="BU62" s="261" t="s">
        <v>651</v>
      </c>
      <c r="BV62" s="259" t="s">
        <v>653</v>
      </c>
      <c r="BW62" s="259" t="s">
        <v>581</v>
      </c>
      <c r="BX62" s="259" t="s">
        <v>582</v>
      </c>
      <c r="BY62" s="259" t="s">
        <v>544</v>
      </c>
      <c r="BZ62" s="258" t="s">
        <v>660</v>
      </c>
      <c r="CA62" s="259" t="s">
        <v>621</v>
      </c>
      <c r="CB62" s="259" t="s">
        <v>754</v>
      </c>
      <c r="CC62" s="259" t="s">
        <v>758</v>
      </c>
      <c r="CD62" s="259" t="s">
        <v>662</v>
      </c>
      <c r="CE62" s="260"/>
      <c r="CF62" s="261" t="s">
        <v>621</v>
      </c>
      <c r="CG62" s="227" t="s">
        <v>4</v>
      </c>
      <c r="CH62" s="227" t="str">
        <f t="shared" si="2"/>
        <v>Dangereuse, Recharge 5, Répétition 4</v>
      </c>
      <c r="CI62" s="235" t="str">
        <f t="shared" si="5"/>
        <v>A Distance (Ingénierie)</v>
      </c>
    </row>
    <row r="63" spans="3:87" ht="18">
      <c r="C63" t="str">
        <f t="shared" si="4"/>
        <v>Gladiateur</v>
      </c>
      <c r="W63" s="6" t="s">
        <v>400</v>
      </c>
      <c r="X63" s="7" t="s">
        <v>3</v>
      </c>
      <c r="Z63" s="31"/>
      <c r="AA63" s="31"/>
      <c r="AB63" s="31"/>
      <c r="AC63" s="31"/>
      <c r="AD63" s="31"/>
      <c r="AE63" s="33"/>
      <c r="AF63" s="33"/>
      <c r="AG63" s="32"/>
      <c r="AH63" s="33"/>
      <c r="AI63" s="33"/>
      <c r="AJ63" s="33"/>
      <c r="AK63" s="33"/>
      <c r="AL63" s="33"/>
      <c r="AM63" s="33"/>
      <c r="AQ63" s="6" t="s">
        <v>287</v>
      </c>
      <c r="AR63" s="5" t="s">
        <v>277</v>
      </c>
      <c r="AS63" s="186" t="s">
        <v>260</v>
      </c>
      <c r="AT63" s="187" t="s">
        <v>403</v>
      </c>
      <c r="AU63" s="187">
        <v>1</v>
      </c>
      <c r="AV63" s="188">
        <v>1</v>
      </c>
      <c r="AW63" s="188">
        <v>0</v>
      </c>
      <c r="AX63" s="188">
        <v>1</v>
      </c>
      <c r="AY63" s="188">
        <v>1</v>
      </c>
      <c r="AZ63" s="188">
        <v>0</v>
      </c>
      <c r="BA63" s="188">
        <v>0</v>
      </c>
      <c r="BB63" s="188">
        <v>0</v>
      </c>
      <c r="BC63" s="188">
        <v>4</v>
      </c>
      <c r="BD63" s="188">
        <v>3</v>
      </c>
      <c r="BE63" s="188">
        <v>2</v>
      </c>
      <c r="BF63" s="187" t="s">
        <v>329</v>
      </c>
      <c r="BG63" s="187" t="s">
        <v>861</v>
      </c>
      <c r="BH63" s="187" t="s">
        <v>331</v>
      </c>
      <c r="BI63" s="187" t="s">
        <v>375</v>
      </c>
      <c r="BJ63" s="187" t="s">
        <v>145</v>
      </c>
      <c r="BK63" s="187" t="s">
        <v>127</v>
      </c>
      <c r="BL63" s="187" t="s">
        <v>138</v>
      </c>
      <c r="BM63" s="187" t="s">
        <v>211</v>
      </c>
      <c r="BN63" s="187" t="s">
        <v>139</v>
      </c>
      <c r="BO63" s="187" t="s">
        <v>309</v>
      </c>
      <c r="BP63" s="187" t="s">
        <v>684</v>
      </c>
      <c r="BQ63" s="187" t="s">
        <v>314</v>
      </c>
      <c r="BR63" s="195" t="s">
        <v>826</v>
      </c>
      <c r="BU63" s="261" t="s">
        <v>651</v>
      </c>
      <c r="BV63" s="259" t="s">
        <v>654</v>
      </c>
      <c r="BW63" s="259" t="s">
        <v>658</v>
      </c>
      <c r="BX63" s="259" t="s">
        <v>590</v>
      </c>
      <c r="BY63" s="259" t="s">
        <v>544</v>
      </c>
      <c r="BZ63" s="258" t="s">
        <v>616</v>
      </c>
      <c r="CA63" s="259" t="s">
        <v>661</v>
      </c>
      <c r="CB63" s="259" t="s">
        <v>754</v>
      </c>
      <c r="CC63" s="259" t="s">
        <v>756</v>
      </c>
      <c r="CD63" s="259" t="s">
        <v>663</v>
      </c>
      <c r="CE63" s="260"/>
      <c r="CF63" s="261" t="s">
        <v>661</v>
      </c>
      <c r="CG63" s="227" t="s">
        <v>4</v>
      </c>
      <c r="CH63" s="227" t="str">
        <f t="shared" si="2"/>
        <v>Dangereuse, Pistolet, Recharge 4</v>
      </c>
      <c r="CI63" s="235" t="str">
        <f t="shared" si="5"/>
        <v>A Distance (Ingénierie)</v>
      </c>
    </row>
    <row r="64" spans="3:87" ht="18">
      <c r="C64" t="str">
        <f t="shared" si="4"/>
        <v xml:space="preserve">Herboriste </v>
      </c>
      <c r="W64" s="6" t="s">
        <v>723</v>
      </c>
      <c r="X64" s="7" t="s">
        <v>3</v>
      </c>
      <c r="Z64" s="31"/>
      <c r="AA64" s="31"/>
      <c r="AB64" s="31"/>
      <c r="AC64" s="31"/>
      <c r="AD64" s="31"/>
      <c r="AE64" s="33"/>
      <c r="AF64" s="33"/>
      <c r="AG64" s="32"/>
      <c r="AH64" s="33"/>
      <c r="AI64" s="33"/>
      <c r="AJ64" s="33"/>
      <c r="AK64" s="33"/>
      <c r="AL64" s="33"/>
      <c r="AM64" s="33"/>
      <c r="AQ64" s="6" t="s">
        <v>60</v>
      </c>
      <c r="AR64" s="5" t="s">
        <v>277</v>
      </c>
      <c r="AS64" s="186" t="s">
        <v>257</v>
      </c>
      <c r="AT64" s="187" t="s">
        <v>404</v>
      </c>
      <c r="AU64" s="187">
        <v>1</v>
      </c>
      <c r="AV64" s="188">
        <v>0</v>
      </c>
      <c r="AW64" s="188">
        <v>0</v>
      </c>
      <c r="AX64" s="188">
        <v>0</v>
      </c>
      <c r="AY64" s="188">
        <v>0</v>
      </c>
      <c r="AZ64" s="189">
        <v>1</v>
      </c>
      <c r="BA64" s="189">
        <v>1</v>
      </c>
      <c r="BB64" s="189">
        <v>2</v>
      </c>
      <c r="BC64" s="188">
        <v>3</v>
      </c>
      <c r="BD64" s="188">
        <v>4</v>
      </c>
      <c r="BE64" s="188">
        <v>1</v>
      </c>
      <c r="BF64" s="187" t="s">
        <v>330</v>
      </c>
      <c r="BG64" s="187" t="s">
        <v>366</v>
      </c>
      <c r="BH64" s="187" t="s">
        <v>365</v>
      </c>
      <c r="BI64" s="187" t="s">
        <v>301</v>
      </c>
      <c r="BJ64" s="187" t="s">
        <v>132</v>
      </c>
      <c r="BK64" s="187" t="s">
        <v>138</v>
      </c>
      <c r="BL64" s="187" t="s">
        <v>296</v>
      </c>
      <c r="BM64" s="187" t="s">
        <v>145</v>
      </c>
      <c r="BN64" s="187" t="s">
        <v>140</v>
      </c>
      <c r="BO64" s="187" t="s">
        <v>133</v>
      </c>
      <c r="BP64" s="187" t="s">
        <v>126</v>
      </c>
      <c r="BQ64" s="187" t="s">
        <v>184</v>
      </c>
      <c r="BR64" s="195" t="s">
        <v>840</v>
      </c>
      <c r="BU64" s="261" t="s">
        <v>652</v>
      </c>
      <c r="BV64" s="259" t="s">
        <v>653</v>
      </c>
      <c r="BW64" s="259" t="s">
        <v>579</v>
      </c>
      <c r="BX64" s="259" t="s">
        <v>596</v>
      </c>
      <c r="BY64" s="259" t="s">
        <v>583</v>
      </c>
      <c r="BZ64" s="258" t="s">
        <v>618</v>
      </c>
      <c r="CA64" s="259" t="s">
        <v>621</v>
      </c>
      <c r="CB64" s="259" t="s">
        <v>754</v>
      </c>
      <c r="CC64" s="259" t="s">
        <v>664</v>
      </c>
      <c r="CD64" s="259"/>
      <c r="CE64" s="260"/>
      <c r="CF64" s="261" t="s">
        <v>621</v>
      </c>
      <c r="CG64" s="227" t="s">
        <v>4</v>
      </c>
      <c r="CH64" s="227" t="str">
        <f t="shared" si="2"/>
        <v>Dangereuse, Recharge 3</v>
      </c>
      <c r="CI64" s="235" t="str">
        <f t="shared" si="5"/>
        <v>A Distance (Poudre noir)</v>
      </c>
    </row>
    <row r="65" spans="3:87" ht="18">
      <c r="C65" t="str">
        <f t="shared" si="4"/>
        <v xml:space="preserve">Hors-la-Loi </v>
      </c>
      <c r="W65" s="6" t="s">
        <v>725</v>
      </c>
      <c r="X65" s="7" t="s">
        <v>3</v>
      </c>
      <c r="Z65" s="31"/>
      <c r="AA65" s="31"/>
      <c r="AB65" s="31"/>
      <c r="AC65" s="31"/>
      <c r="AD65" s="31"/>
      <c r="AE65" s="33"/>
      <c r="AF65" s="33"/>
      <c r="AG65" s="32"/>
      <c r="AH65" s="33"/>
      <c r="AI65" s="33"/>
      <c r="AJ65" s="33"/>
      <c r="AK65" s="33"/>
      <c r="AL65" s="33"/>
      <c r="AM65" s="33"/>
      <c r="AQ65" s="6" t="s">
        <v>291</v>
      </c>
      <c r="AR65" s="5" t="s">
        <v>277</v>
      </c>
      <c r="AS65" s="186" t="s">
        <v>262</v>
      </c>
      <c r="AT65" s="187" t="s">
        <v>403</v>
      </c>
      <c r="AU65" s="187">
        <v>1</v>
      </c>
      <c r="AV65" s="188">
        <v>1</v>
      </c>
      <c r="AW65" s="188">
        <v>0</v>
      </c>
      <c r="AX65" s="188">
        <v>0</v>
      </c>
      <c r="AY65" s="188">
        <v>1</v>
      </c>
      <c r="AZ65" s="188">
        <v>0</v>
      </c>
      <c r="BA65" s="188">
        <v>2</v>
      </c>
      <c r="BB65" s="188">
        <v>0</v>
      </c>
      <c r="BC65" s="188">
        <v>4</v>
      </c>
      <c r="BD65" s="188">
        <v>1</v>
      </c>
      <c r="BE65" s="188">
        <v>3</v>
      </c>
      <c r="BF65" s="187" t="s">
        <v>329</v>
      </c>
      <c r="BG65" s="187" t="s">
        <v>331</v>
      </c>
      <c r="BH65" s="187" t="s">
        <v>351</v>
      </c>
      <c r="BI65" s="187" t="s">
        <v>364</v>
      </c>
      <c r="BJ65" s="187" t="s">
        <v>344</v>
      </c>
      <c r="BK65" s="187" t="s">
        <v>127</v>
      </c>
      <c r="BL65" s="187" t="s">
        <v>211</v>
      </c>
      <c r="BM65" s="187" t="s">
        <v>133</v>
      </c>
      <c r="BN65" s="187" t="s">
        <v>139</v>
      </c>
      <c r="BO65" s="187" t="s">
        <v>333</v>
      </c>
      <c r="BP65" s="187" t="s">
        <v>147</v>
      </c>
      <c r="BQ65" s="187" t="s">
        <v>313</v>
      </c>
      <c r="BR65" s="195" t="s">
        <v>791</v>
      </c>
      <c r="BU65" s="261" t="s">
        <v>652</v>
      </c>
      <c r="BV65" s="259" t="s">
        <v>655</v>
      </c>
      <c r="BW65" s="259" t="s">
        <v>659</v>
      </c>
      <c r="BX65" s="259" t="s">
        <v>582</v>
      </c>
      <c r="BY65" s="259" t="s">
        <v>613</v>
      </c>
      <c r="BZ65" s="258" t="s">
        <v>617</v>
      </c>
      <c r="CA65" s="259" t="s">
        <v>621</v>
      </c>
      <c r="CB65" s="259" t="s">
        <v>755</v>
      </c>
      <c r="CC65" s="259" t="s">
        <v>759</v>
      </c>
      <c r="CD65" s="259" t="s">
        <v>663</v>
      </c>
      <c r="CE65" s="260"/>
      <c r="CF65" s="261" t="s">
        <v>621</v>
      </c>
      <c r="CG65" s="227" t="s">
        <v>4</v>
      </c>
      <c r="CH65" s="227" t="str">
        <f t="shared" si="2"/>
        <v>Précis, Pointue, Recharge 4</v>
      </c>
      <c r="CI65" s="235" t="str">
        <f t="shared" si="5"/>
        <v>A Distance (Poudre noir)</v>
      </c>
    </row>
    <row r="66" spans="3:87" ht="18">
      <c r="C66" t="str">
        <f t="shared" si="4"/>
        <v>Ingénieur</v>
      </c>
      <c r="W66" s="64" t="s">
        <v>852</v>
      </c>
      <c r="X66" s="65" t="s">
        <v>9</v>
      </c>
      <c r="Z66" s="31"/>
      <c r="AA66" s="31"/>
      <c r="AB66" s="31"/>
      <c r="AC66" s="31"/>
      <c r="AD66" s="31"/>
      <c r="AE66" s="33"/>
      <c r="AQ66" s="6" t="s">
        <v>288</v>
      </c>
      <c r="AR66" s="5" t="s">
        <v>277</v>
      </c>
      <c r="AS66" s="186" t="s">
        <v>256</v>
      </c>
      <c r="AT66" s="187" t="s">
        <v>403</v>
      </c>
      <c r="AU66" s="187">
        <v>1</v>
      </c>
      <c r="AV66" s="188">
        <v>0</v>
      </c>
      <c r="AW66" s="188">
        <v>0</v>
      </c>
      <c r="AX66" s="188">
        <v>0</v>
      </c>
      <c r="AY66" s="188">
        <v>0</v>
      </c>
      <c r="AZ66" s="189">
        <v>1</v>
      </c>
      <c r="BA66" s="189">
        <v>2</v>
      </c>
      <c r="BB66" s="189">
        <v>1</v>
      </c>
      <c r="BC66" s="188">
        <v>4</v>
      </c>
      <c r="BD66" s="188">
        <v>3</v>
      </c>
      <c r="BE66" s="188">
        <v>1</v>
      </c>
      <c r="BF66" s="187" t="s">
        <v>869</v>
      </c>
      <c r="BG66" s="187" t="s">
        <v>330</v>
      </c>
      <c r="BH66" s="187" t="s">
        <v>303</v>
      </c>
      <c r="BI66" s="187" t="s">
        <v>301</v>
      </c>
      <c r="BJ66" s="187" t="s">
        <v>135</v>
      </c>
      <c r="BK66" s="187" t="s">
        <v>132</v>
      </c>
      <c r="BL66" s="187" t="s">
        <v>145</v>
      </c>
      <c r="BM66" s="187" t="s">
        <v>354</v>
      </c>
      <c r="BN66" s="187" t="s">
        <v>140</v>
      </c>
      <c r="BO66" s="187" t="s">
        <v>133</v>
      </c>
      <c r="BP66" s="187" t="s">
        <v>126</v>
      </c>
      <c r="BQ66" s="187" t="s">
        <v>139</v>
      </c>
      <c r="BR66" s="195" t="s">
        <v>792</v>
      </c>
      <c r="BU66" s="261" t="s">
        <v>652</v>
      </c>
      <c r="BV66" s="259" t="s">
        <v>656</v>
      </c>
      <c r="BW66" s="259" t="s">
        <v>578</v>
      </c>
      <c r="BX66" s="259" t="s">
        <v>570</v>
      </c>
      <c r="BY66" s="259" t="s">
        <v>544</v>
      </c>
      <c r="BZ66" s="258" t="s">
        <v>619</v>
      </c>
      <c r="CA66" s="259" t="s">
        <v>661</v>
      </c>
      <c r="CB66" s="259" t="s">
        <v>756</v>
      </c>
      <c r="CC66" s="259" t="s">
        <v>623</v>
      </c>
      <c r="CD66" s="259"/>
      <c r="CE66" s="260"/>
      <c r="CF66" s="261" t="s">
        <v>661</v>
      </c>
      <c r="CG66" s="227" t="s">
        <v>4</v>
      </c>
      <c r="CH66" s="227" t="str">
        <f t="shared" si="2"/>
        <v>Pistolet, Recharge 1</v>
      </c>
      <c r="CI66" s="235" t="str">
        <f t="shared" si="5"/>
        <v>A Distance (Poudre noir)</v>
      </c>
    </row>
    <row r="67" spans="3:87" ht="18.75" thickBot="1">
      <c r="C67" t="str">
        <f t="shared" ref="C67:C92" si="6">VLOOKUP($C$1,$D$2:$CW$6,ROW(D67),FALSE)</f>
        <v>Intendant</v>
      </c>
      <c r="W67" s="64" t="s">
        <v>317</v>
      </c>
      <c r="X67" s="65" t="s">
        <v>9</v>
      </c>
      <c r="Z67" s="31"/>
      <c r="AA67" s="31"/>
      <c r="AB67" s="31"/>
      <c r="AC67" s="31"/>
      <c r="AD67" s="31"/>
      <c r="AE67" s="33"/>
      <c r="AQ67" s="6" t="s">
        <v>63</v>
      </c>
      <c r="AR67" s="5" t="s">
        <v>277</v>
      </c>
      <c r="AS67" s="186" t="s">
        <v>261</v>
      </c>
      <c r="AT67" s="187" t="s">
        <v>403</v>
      </c>
      <c r="AU67" s="187">
        <v>3</v>
      </c>
      <c r="AV67" s="188">
        <v>0</v>
      </c>
      <c r="AW67" s="188">
        <v>0</v>
      </c>
      <c r="AX67" s="188">
        <v>3</v>
      </c>
      <c r="AY67" s="188">
        <v>0</v>
      </c>
      <c r="AZ67" s="188">
        <v>1</v>
      </c>
      <c r="BA67" s="188">
        <v>1</v>
      </c>
      <c r="BB67" s="188">
        <v>2</v>
      </c>
      <c r="BC67" s="188">
        <v>0</v>
      </c>
      <c r="BD67" s="188">
        <v>1</v>
      </c>
      <c r="BE67" s="188">
        <v>4</v>
      </c>
      <c r="BF67" s="187" t="s">
        <v>330</v>
      </c>
      <c r="BG67" s="187" t="s">
        <v>329</v>
      </c>
      <c r="BH67" s="187" t="s">
        <v>861</v>
      </c>
      <c r="BI67" s="187" t="s">
        <v>367</v>
      </c>
      <c r="BJ67" s="187" t="s">
        <v>130</v>
      </c>
      <c r="BK67" s="187" t="s">
        <v>72</v>
      </c>
      <c r="BL67" s="187" t="s">
        <v>127</v>
      </c>
      <c r="BM67" s="187" t="s">
        <v>138</v>
      </c>
      <c r="BN67" s="187" t="s">
        <v>211</v>
      </c>
      <c r="BO67" s="187" t="s">
        <v>74</v>
      </c>
      <c r="BP67" s="187" t="s">
        <v>75</v>
      </c>
      <c r="BQ67" s="187" t="s">
        <v>314</v>
      </c>
      <c r="BR67" s="195" t="s">
        <v>834</v>
      </c>
      <c r="BU67" s="265" t="s">
        <v>652</v>
      </c>
      <c r="BV67" s="263" t="s">
        <v>657</v>
      </c>
      <c r="BW67" s="263" t="s">
        <v>541</v>
      </c>
      <c r="BX67" s="263" t="s">
        <v>590</v>
      </c>
      <c r="BY67" s="263" t="s">
        <v>583</v>
      </c>
      <c r="BZ67" s="262" t="s">
        <v>619</v>
      </c>
      <c r="CA67" s="263" t="s">
        <v>661</v>
      </c>
      <c r="CB67" s="263" t="s">
        <v>757</v>
      </c>
      <c r="CC67" s="263" t="s">
        <v>754</v>
      </c>
      <c r="CD67" s="263" t="s">
        <v>625</v>
      </c>
      <c r="CE67" s="264"/>
      <c r="CF67" s="265" t="s">
        <v>661</v>
      </c>
      <c r="CG67" s="229" t="s">
        <v>4</v>
      </c>
      <c r="CH67" s="229" t="str">
        <f t="shared" si="2"/>
        <v>A explosion, Dangereuse, Recharge 2</v>
      </c>
      <c r="CI67" s="235" t="str">
        <f t="shared" si="5"/>
        <v>A Distance (Poudre noir)</v>
      </c>
    </row>
    <row r="68" spans="3:87" ht="18">
      <c r="C68" t="str">
        <f t="shared" si="6"/>
        <v xml:space="preserve">Juriste </v>
      </c>
      <c r="W68" s="64" t="s">
        <v>312</v>
      </c>
      <c r="X68" s="65" t="s">
        <v>9</v>
      </c>
      <c r="Z68" s="31"/>
      <c r="AA68" s="31"/>
      <c r="AB68" s="31"/>
      <c r="AC68" s="31"/>
      <c r="AD68" s="31"/>
      <c r="AE68" s="33"/>
      <c r="AQ68" s="6" t="s">
        <v>43</v>
      </c>
      <c r="AR68" s="5" t="s">
        <v>278</v>
      </c>
      <c r="AS68" s="186" t="s">
        <v>234</v>
      </c>
      <c r="AT68" s="187" t="s">
        <v>403</v>
      </c>
      <c r="AU68" s="187">
        <v>2</v>
      </c>
      <c r="AV68" s="188">
        <v>0</v>
      </c>
      <c r="AW68" s="188">
        <v>2</v>
      </c>
      <c r="AX68" s="188">
        <v>1</v>
      </c>
      <c r="AY68" s="188">
        <v>1</v>
      </c>
      <c r="AZ68" s="189">
        <v>0</v>
      </c>
      <c r="BA68" s="189">
        <v>3</v>
      </c>
      <c r="BB68" s="189">
        <v>1</v>
      </c>
      <c r="BC68" s="188">
        <v>4</v>
      </c>
      <c r="BD68" s="188">
        <v>0</v>
      </c>
      <c r="BE68" s="188">
        <v>0</v>
      </c>
      <c r="BF68" s="187" t="s">
        <v>360</v>
      </c>
      <c r="BG68" s="187" t="s">
        <v>348</v>
      </c>
      <c r="BH68" s="187" t="s">
        <v>352</v>
      </c>
      <c r="BI68" s="187" t="s">
        <v>359</v>
      </c>
      <c r="BJ68" s="187" t="s">
        <v>334</v>
      </c>
      <c r="BK68" s="187" t="s">
        <v>72</v>
      </c>
      <c r="BL68" s="187" t="s">
        <v>211</v>
      </c>
      <c r="BM68" s="187" t="s">
        <v>507</v>
      </c>
      <c r="BN68" s="187" t="s">
        <v>146</v>
      </c>
      <c r="BO68" s="187" t="s">
        <v>75</v>
      </c>
      <c r="BP68" s="187" t="s">
        <v>337</v>
      </c>
      <c r="BQ68" s="187" t="s">
        <v>341</v>
      </c>
      <c r="BR68" s="195" t="s">
        <v>841</v>
      </c>
      <c r="BU68" s="131"/>
      <c r="BV68" s="131"/>
      <c r="BW68" s="131"/>
      <c r="BX68" s="131"/>
      <c r="BY68" s="131"/>
      <c r="BZ68" s="131"/>
      <c r="CA68" s="131"/>
    </row>
    <row r="69" spans="3:87" ht="18">
      <c r="C69" t="str">
        <f t="shared" si="6"/>
        <v xml:space="preserve">Marchand </v>
      </c>
      <c r="W69" s="62" t="s">
        <v>680</v>
      </c>
      <c r="X69" s="65" t="s">
        <v>9</v>
      </c>
      <c r="Z69" s="31"/>
      <c r="AA69" s="31"/>
      <c r="AB69" s="31"/>
      <c r="AC69" s="31"/>
      <c r="AD69" s="31"/>
      <c r="AE69" s="33"/>
      <c r="AQ69" s="6" t="s">
        <v>46</v>
      </c>
      <c r="AR69" s="5" t="s">
        <v>278</v>
      </c>
      <c r="AS69" s="186" t="s">
        <v>237</v>
      </c>
      <c r="AT69" s="187" t="s">
        <v>403</v>
      </c>
      <c r="AU69" s="187">
        <v>3</v>
      </c>
      <c r="AV69" s="188">
        <v>0</v>
      </c>
      <c r="AW69" s="188">
        <v>2</v>
      </c>
      <c r="AX69" s="188">
        <v>0</v>
      </c>
      <c r="AY69" s="188">
        <v>1</v>
      </c>
      <c r="AZ69" s="188">
        <v>1</v>
      </c>
      <c r="BA69" s="188">
        <v>1</v>
      </c>
      <c r="BB69" s="188">
        <v>4</v>
      </c>
      <c r="BC69" s="188">
        <v>3</v>
      </c>
      <c r="BD69" s="188">
        <v>0</v>
      </c>
      <c r="BE69" s="188">
        <v>0</v>
      </c>
      <c r="BF69" s="187" t="s">
        <v>99</v>
      </c>
      <c r="BG69" s="187" t="s">
        <v>348</v>
      </c>
      <c r="BH69" s="187" t="s">
        <v>358</v>
      </c>
      <c r="BI69" s="187" t="s">
        <v>352</v>
      </c>
      <c r="BJ69" s="187" t="s">
        <v>334</v>
      </c>
      <c r="BK69" s="187" t="s">
        <v>72</v>
      </c>
      <c r="BL69" s="187" t="s">
        <v>211</v>
      </c>
      <c r="BM69" s="187" t="s">
        <v>133</v>
      </c>
      <c r="BN69" s="187" t="s">
        <v>309</v>
      </c>
      <c r="BO69" s="187" t="s">
        <v>184</v>
      </c>
      <c r="BP69" s="187" t="s">
        <v>146</v>
      </c>
      <c r="BQ69" s="187" t="s">
        <v>75</v>
      </c>
      <c r="BR69" s="195" t="s">
        <v>827</v>
      </c>
      <c r="BU69" s="131"/>
      <c r="BV69" s="131"/>
      <c r="BW69" s="131"/>
      <c r="BX69" s="131"/>
      <c r="BY69" s="131"/>
      <c r="BZ69" s="131"/>
      <c r="CA69" s="131"/>
    </row>
    <row r="70" spans="3:87" ht="18">
      <c r="C70" t="str">
        <f t="shared" si="6"/>
        <v>Marin</v>
      </c>
      <c r="W70" s="62" t="s">
        <v>764</v>
      </c>
      <c r="X70" s="65" t="s">
        <v>9</v>
      </c>
      <c r="Z70" s="31"/>
      <c r="AA70" s="31"/>
      <c r="AB70" s="31"/>
      <c r="AC70" s="31"/>
      <c r="AD70" s="31"/>
      <c r="AE70" s="33"/>
      <c r="AQ70" s="6" t="s">
        <v>42</v>
      </c>
      <c r="AR70" s="5" t="s">
        <v>278</v>
      </c>
      <c r="AS70" s="186" t="s">
        <v>233</v>
      </c>
      <c r="AT70" s="187" t="s">
        <v>403</v>
      </c>
      <c r="AU70" s="187">
        <v>2</v>
      </c>
      <c r="AV70" s="188">
        <v>0</v>
      </c>
      <c r="AW70" s="188">
        <v>0</v>
      </c>
      <c r="AX70" s="188">
        <v>0</v>
      </c>
      <c r="AY70" s="188">
        <v>1</v>
      </c>
      <c r="AZ70" s="189">
        <v>1</v>
      </c>
      <c r="BA70" s="189">
        <v>1</v>
      </c>
      <c r="BB70" s="189">
        <v>2</v>
      </c>
      <c r="BC70" s="188">
        <v>4</v>
      </c>
      <c r="BD70" s="188">
        <v>0</v>
      </c>
      <c r="BE70" s="188">
        <v>3</v>
      </c>
      <c r="BF70" s="187" t="s">
        <v>873</v>
      </c>
      <c r="BG70" s="187" t="s">
        <v>99</v>
      </c>
      <c r="BH70" s="187" t="s">
        <v>348</v>
      </c>
      <c r="BI70" s="187" t="s">
        <v>352</v>
      </c>
      <c r="BJ70" s="187" t="s">
        <v>334</v>
      </c>
      <c r="BK70" s="187" t="s">
        <v>72</v>
      </c>
      <c r="BL70" s="187" t="s">
        <v>211</v>
      </c>
      <c r="BM70" s="187" t="s">
        <v>855</v>
      </c>
      <c r="BN70" s="187" t="s">
        <v>146</v>
      </c>
      <c r="BO70" s="187" t="s">
        <v>75</v>
      </c>
      <c r="BP70" s="187" t="s">
        <v>148</v>
      </c>
      <c r="BQ70" s="187" t="s">
        <v>764</v>
      </c>
      <c r="BR70" s="195" t="s">
        <v>793</v>
      </c>
      <c r="BU70" s="131"/>
      <c r="BV70" s="131"/>
      <c r="BW70" s="131"/>
      <c r="BX70" s="131"/>
      <c r="BY70" s="131"/>
      <c r="BZ70" s="131"/>
      <c r="CA70" s="131"/>
    </row>
    <row r="71" spans="3:87" ht="18">
      <c r="C71" t="str">
        <f t="shared" si="6"/>
        <v xml:space="preserve">Médecin </v>
      </c>
      <c r="W71" s="62" t="s">
        <v>763</v>
      </c>
      <c r="X71" s="65" t="s">
        <v>9</v>
      </c>
      <c r="Z71" s="31"/>
      <c r="AA71" s="31"/>
      <c r="AB71" s="31"/>
      <c r="AC71" s="31"/>
      <c r="AD71" s="31"/>
      <c r="AE71" s="33"/>
      <c r="AQ71" s="6" t="s">
        <v>286</v>
      </c>
      <c r="AR71" s="5" t="s">
        <v>278</v>
      </c>
      <c r="AS71" s="186" t="s">
        <v>231</v>
      </c>
      <c r="AT71" s="187" t="s">
        <v>404</v>
      </c>
      <c r="AU71" s="187">
        <v>1</v>
      </c>
      <c r="AV71" s="188">
        <v>1</v>
      </c>
      <c r="AW71" s="188">
        <v>0</v>
      </c>
      <c r="AX71" s="188">
        <v>0</v>
      </c>
      <c r="AY71" s="188">
        <v>0</v>
      </c>
      <c r="AZ71" s="188">
        <v>3</v>
      </c>
      <c r="BA71" s="188">
        <v>1</v>
      </c>
      <c r="BB71" s="188">
        <v>0</v>
      </c>
      <c r="BC71" s="188">
        <v>4</v>
      </c>
      <c r="BD71" s="188">
        <v>1</v>
      </c>
      <c r="BE71" s="188">
        <v>2</v>
      </c>
      <c r="BF71" s="187" t="s">
        <v>362</v>
      </c>
      <c r="BG71" s="187" t="s">
        <v>361</v>
      </c>
      <c r="BH71" s="187" t="s">
        <v>363</v>
      </c>
      <c r="BI71" s="187" t="s">
        <v>357</v>
      </c>
      <c r="BJ71" s="187" t="s">
        <v>127</v>
      </c>
      <c r="BK71" s="187" t="s">
        <v>138</v>
      </c>
      <c r="BL71" s="187" t="s">
        <v>211</v>
      </c>
      <c r="BM71" s="187" t="s">
        <v>133</v>
      </c>
      <c r="BN71" s="187" t="s">
        <v>126</v>
      </c>
      <c r="BO71" s="187" t="s">
        <v>139</v>
      </c>
      <c r="BP71" s="187" t="s">
        <v>141</v>
      </c>
      <c r="BQ71" s="187" t="s">
        <v>75</v>
      </c>
      <c r="BR71" s="195" t="s">
        <v>842</v>
      </c>
      <c r="BU71" s="131"/>
      <c r="BV71" s="131"/>
      <c r="BW71" s="131"/>
      <c r="BX71" s="131"/>
      <c r="BY71" s="131"/>
      <c r="BZ71" s="131"/>
      <c r="CA71" s="131"/>
    </row>
    <row r="72" spans="3:87" ht="18">
      <c r="C72" t="str">
        <f t="shared" si="6"/>
        <v xml:space="preserve">Mendiant </v>
      </c>
      <c r="W72" s="64" t="s">
        <v>853</v>
      </c>
      <c r="X72" s="65" t="s">
        <v>9</v>
      </c>
      <c r="Z72" s="31"/>
      <c r="AA72" s="31"/>
      <c r="AB72" s="31"/>
      <c r="AC72" s="31"/>
      <c r="AD72" s="31"/>
      <c r="AE72" s="33"/>
      <c r="AQ72" s="6" t="s">
        <v>44</v>
      </c>
      <c r="AR72" s="5" t="s">
        <v>278</v>
      </c>
      <c r="AS72" s="186" t="s">
        <v>235</v>
      </c>
      <c r="AT72" s="187" t="s">
        <v>403</v>
      </c>
      <c r="AU72" s="187">
        <v>2</v>
      </c>
      <c r="AV72" s="188">
        <v>2</v>
      </c>
      <c r="AW72" s="188">
        <v>0</v>
      </c>
      <c r="AX72" s="188">
        <v>1</v>
      </c>
      <c r="AY72" s="188">
        <v>1</v>
      </c>
      <c r="AZ72" s="189">
        <v>0</v>
      </c>
      <c r="BA72" s="189">
        <v>3</v>
      </c>
      <c r="BB72" s="189">
        <v>0</v>
      </c>
      <c r="BC72" s="188">
        <v>0</v>
      </c>
      <c r="BD72" s="188">
        <v>1</v>
      </c>
      <c r="BE72" s="188">
        <v>4</v>
      </c>
      <c r="BF72" s="187" t="s">
        <v>348</v>
      </c>
      <c r="BG72" s="187" t="s">
        <v>876</v>
      </c>
      <c r="BH72" s="187" t="s">
        <v>114</v>
      </c>
      <c r="BI72" s="187" t="s">
        <v>357</v>
      </c>
      <c r="BJ72" s="187" t="s">
        <v>127</v>
      </c>
      <c r="BK72" s="187" t="s">
        <v>211</v>
      </c>
      <c r="BL72" s="187" t="s">
        <v>74</v>
      </c>
      <c r="BM72" s="187" t="s">
        <v>309</v>
      </c>
      <c r="BN72" s="187" t="s">
        <v>326</v>
      </c>
      <c r="BO72" s="187" t="s">
        <v>146</v>
      </c>
      <c r="BP72" s="187" t="s">
        <v>75</v>
      </c>
      <c r="BQ72" s="187" t="s">
        <v>148</v>
      </c>
      <c r="BR72" s="195" t="s">
        <v>688</v>
      </c>
      <c r="BU72" s="131"/>
      <c r="BV72" s="131"/>
      <c r="BW72" s="131"/>
      <c r="BX72" s="131"/>
      <c r="BY72" s="131"/>
      <c r="BZ72" s="131"/>
      <c r="CA72" s="131"/>
      <c r="CB72" s="131"/>
      <c r="CC72" s="223"/>
      <c r="CD72" s="223"/>
    </row>
    <row r="73" spans="3:87" ht="18">
      <c r="C73" t="str">
        <f t="shared" si="6"/>
        <v xml:space="preserve">Messager </v>
      </c>
      <c r="W73" s="62" t="s">
        <v>762</v>
      </c>
      <c r="X73" s="65" t="s">
        <v>9</v>
      </c>
      <c r="Z73" s="31"/>
      <c r="AA73" s="31"/>
      <c r="AB73" s="31"/>
      <c r="AC73" s="31"/>
      <c r="AD73" s="31"/>
      <c r="AE73" s="33"/>
      <c r="AQ73" s="6" t="s">
        <v>45</v>
      </c>
      <c r="AR73" s="5" t="s">
        <v>278</v>
      </c>
      <c r="AS73" s="186" t="s">
        <v>236</v>
      </c>
      <c r="AT73" s="187" t="s">
        <v>403</v>
      </c>
      <c r="AU73" s="187">
        <v>1</v>
      </c>
      <c r="AV73" s="188">
        <v>0</v>
      </c>
      <c r="AW73" s="188">
        <v>0</v>
      </c>
      <c r="AX73" s="188">
        <v>0</v>
      </c>
      <c r="AY73" s="188">
        <v>0</v>
      </c>
      <c r="AZ73" s="188">
        <v>3</v>
      </c>
      <c r="BA73" s="188">
        <v>1</v>
      </c>
      <c r="BB73" s="188">
        <v>1</v>
      </c>
      <c r="BC73" s="188">
        <v>4</v>
      </c>
      <c r="BD73" s="188">
        <v>2</v>
      </c>
      <c r="BE73" s="188">
        <v>1</v>
      </c>
      <c r="BF73" s="187" t="s">
        <v>869</v>
      </c>
      <c r="BG73" s="187" t="s">
        <v>292</v>
      </c>
      <c r="BH73" s="187" t="s">
        <v>353</v>
      </c>
      <c r="BI73" s="187" t="s">
        <v>868</v>
      </c>
      <c r="BJ73" s="187" t="s">
        <v>132</v>
      </c>
      <c r="BK73" s="187" t="s">
        <v>850</v>
      </c>
      <c r="BL73" s="187" t="s">
        <v>138</v>
      </c>
      <c r="BM73" s="187" t="s">
        <v>133</v>
      </c>
      <c r="BN73" s="187" t="s">
        <v>126</v>
      </c>
      <c r="BO73" s="187" t="s">
        <v>74</v>
      </c>
      <c r="BP73" s="187" t="s">
        <v>75</v>
      </c>
      <c r="BQ73" s="187" t="s">
        <v>147</v>
      </c>
      <c r="BR73" s="195" t="s">
        <v>794</v>
      </c>
      <c r="BU73" s="131"/>
      <c r="BV73" s="131"/>
      <c r="BW73" s="131"/>
      <c r="BX73" s="131"/>
      <c r="BY73" s="131"/>
      <c r="BZ73" s="131"/>
      <c r="CA73" s="131"/>
      <c r="CB73" s="131"/>
      <c r="CC73" s="223"/>
      <c r="CD73" s="223"/>
    </row>
    <row r="74" spans="3:87" ht="18">
      <c r="C74" t="str">
        <f t="shared" si="6"/>
        <v>Milicien</v>
      </c>
      <c r="W74" s="62" t="s">
        <v>148</v>
      </c>
      <c r="X74" s="65" t="s">
        <v>6</v>
      </c>
      <c r="Z74" s="31"/>
      <c r="AA74" s="31"/>
      <c r="AB74" s="31"/>
      <c r="AC74" s="31"/>
      <c r="AD74" s="31"/>
      <c r="AE74" s="33"/>
      <c r="AQ74" s="6" t="s">
        <v>41</v>
      </c>
      <c r="AR74" s="5" t="s">
        <v>278</v>
      </c>
      <c r="AS74" s="186" t="s">
        <v>232</v>
      </c>
      <c r="AT74" s="187" t="s">
        <v>403</v>
      </c>
      <c r="AU74" s="187">
        <v>1</v>
      </c>
      <c r="AV74" s="188">
        <v>0</v>
      </c>
      <c r="AW74" s="188">
        <v>0</v>
      </c>
      <c r="AX74" s="188">
        <v>0</v>
      </c>
      <c r="AY74" s="188">
        <v>1</v>
      </c>
      <c r="AZ74" s="188">
        <v>0</v>
      </c>
      <c r="BA74" s="188">
        <v>1</v>
      </c>
      <c r="BB74" s="188">
        <v>1</v>
      </c>
      <c r="BC74" s="188">
        <v>2</v>
      </c>
      <c r="BD74" s="188">
        <v>4</v>
      </c>
      <c r="BE74" s="188">
        <v>3</v>
      </c>
      <c r="BF74" s="187" t="s">
        <v>349</v>
      </c>
      <c r="BG74" s="187" t="s">
        <v>351</v>
      </c>
      <c r="BH74" s="187" t="s">
        <v>348</v>
      </c>
      <c r="BI74" s="187" t="s">
        <v>877</v>
      </c>
      <c r="BJ74" s="187" t="s">
        <v>344</v>
      </c>
      <c r="BK74" s="187" t="s">
        <v>211</v>
      </c>
      <c r="BL74" s="187" t="s">
        <v>74</v>
      </c>
      <c r="BM74" s="187" t="s">
        <v>310</v>
      </c>
      <c r="BN74" s="187" t="s">
        <v>855</v>
      </c>
      <c r="BO74" s="187" t="s">
        <v>146</v>
      </c>
      <c r="BP74" s="187" t="s">
        <v>75</v>
      </c>
      <c r="BQ74" s="187" t="s">
        <v>312</v>
      </c>
      <c r="BR74" s="195" t="s">
        <v>795</v>
      </c>
      <c r="BU74" s="131"/>
      <c r="BV74" s="131"/>
      <c r="BW74" s="131"/>
      <c r="BX74" s="131"/>
      <c r="BY74" s="131"/>
      <c r="BZ74" s="131"/>
      <c r="CA74" s="131"/>
      <c r="CB74" s="131"/>
      <c r="CC74" s="223"/>
      <c r="CD74" s="223"/>
    </row>
    <row r="75" spans="3:87" ht="18.75" thickBot="1">
      <c r="C75" t="str">
        <f t="shared" si="6"/>
        <v xml:space="preserve">Mineur </v>
      </c>
      <c r="W75" s="64" t="s">
        <v>341</v>
      </c>
      <c r="X75" s="65" t="s">
        <v>9</v>
      </c>
      <c r="Z75" s="31"/>
      <c r="AA75" s="31"/>
      <c r="AB75" s="31"/>
      <c r="AC75" s="31"/>
      <c r="AD75" s="31"/>
      <c r="AE75" s="33"/>
      <c r="AQ75" s="8" t="s">
        <v>47</v>
      </c>
      <c r="AR75" s="17" t="s">
        <v>278</v>
      </c>
      <c r="AS75" s="196" t="s">
        <v>238</v>
      </c>
      <c r="AT75" s="197" t="s">
        <v>403</v>
      </c>
      <c r="AU75" s="197">
        <v>2</v>
      </c>
      <c r="AV75" s="198">
        <v>2</v>
      </c>
      <c r="AW75" s="198">
        <v>0</v>
      </c>
      <c r="AX75" s="198">
        <v>1</v>
      </c>
      <c r="AY75" s="198">
        <v>1</v>
      </c>
      <c r="AZ75" s="198">
        <v>1</v>
      </c>
      <c r="BA75" s="198">
        <v>0</v>
      </c>
      <c r="BB75" s="198">
        <v>0</v>
      </c>
      <c r="BC75" s="198">
        <v>4</v>
      </c>
      <c r="BD75" s="198">
        <v>0</v>
      </c>
      <c r="BE75" s="198">
        <v>3</v>
      </c>
      <c r="BF75" s="197" t="s">
        <v>348</v>
      </c>
      <c r="BG75" s="197" t="s">
        <v>363</v>
      </c>
      <c r="BH75" s="197" t="s">
        <v>384</v>
      </c>
      <c r="BI75" s="197" t="s">
        <v>373</v>
      </c>
      <c r="BJ75" s="197" t="s">
        <v>506</v>
      </c>
      <c r="BK75" s="197" t="s">
        <v>130</v>
      </c>
      <c r="BL75" s="197" t="s">
        <v>145</v>
      </c>
      <c r="BM75" s="197" t="s">
        <v>211</v>
      </c>
      <c r="BN75" s="197" t="s">
        <v>133</v>
      </c>
      <c r="BO75" s="197" t="s">
        <v>684</v>
      </c>
      <c r="BP75" s="197" t="s">
        <v>309</v>
      </c>
      <c r="BQ75" s="197" t="s">
        <v>146</v>
      </c>
      <c r="BR75" s="199" t="s">
        <v>667</v>
      </c>
      <c r="CC75" s="223"/>
      <c r="CD75" s="33"/>
    </row>
    <row r="76" spans="3:87">
      <c r="C76" t="str">
        <f t="shared" si="6"/>
        <v xml:space="preserve">Mystique </v>
      </c>
      <c r="W76" s="64" t="s">
        <v>149</v>
      </c>
      <c r="X76" s="65" t="s">
        <v>8</v>
      </c>
      <c r="Z76" s="31"/>
      <c r="AA76" s="31"/>
      <c r="AB76" s="31"/>
      <c r="AC76" s="31"/>
      <c r="AD76" s="31"/>
      <c r="AE76" s="33"/>
      <c r="CC76" s="223"/>
      <c r="CD76" s="33"/>
    </row>
    <row r="77" spans="3:87">
      <c r="C77" t="str">
        <f t="shared" si="6"/>
        <v>Naufrageur</v>
      </c>
      <c r="W77" s="64" t="s">
        <v>854</v>
      </c>
      <c r="X77" s="65" t="s">
        <v>10</v>
      </c>
      <c r="Z77" s="31"/>
      <c r="AA77" s="31"/>
      <c r="AB77" s="31"/>
      <c r="AC77" s="31"/>
      <c r="AD77" s="31"/>
      <c r="AE77" s="33"/>
      <c r="CC77" s="223"/>
      <c r="CD77" s="33"/>
    </row>
    <row r="78" spans="3:87">
      <c r="C78" t="str">
        <f t="shared" si="6"/>
        <v xml:space="preserve">Nautonier </v>
      </c>
      <c r="W78" s="64" t="s">
        <v>342</v>
      </c>
      <c r="X78" s="65" t="s">
        <v>12</v>
      </c>
      <c r="Z78" s="31"/>
      <c r="AA78" s="31"/>
      <c r="AB78" s="31"/>
      <c r="AC78" s="31"/>
      <c r="AD78" s="31"/>
      <c r="AE78" s="33"/>
      <c r="CC78" s="223"/>
      <c r="CD78" s="33"/>
    </row>
    <row r="79" spans="3:87">
      <c r="C79" t="str">
        <f t="shared" si="6"/>
        <v xml:space="preserve">Noble </v>
      </c>
      <c r="W79" s="64" t="s">
        <v>425</v>
      </c>
      <c r="X79" s="65" t="s">
        <v>6</v>
      </c>
      <c r="Z79" s="31"/>
      <c r="AA79" s="31"/>
      <c r="AB79" s="31"/>
      <c r="AC79" s="31"/>
      <c r="AD79" s="31"/>
      <c r="AE79" s="33"/>
      <c r="CC79" s="223"/>
      <c r="CD79" s="33"/>
    </row>
    <row r="80" spans="3:87">
      <c r="C80" t="str">
        <f t="shared" si="6"/>
        <v xml:space="preserve">Nonne </v>
      </c>
      <c r="W80" s="64" t="s">
        <v>150</v>
      </c>
      <c r="X80" s="65" t="s">
        <v>10</v>
      </c>
      <c r="Z80" s="31"/>
      <c r="AA80" s="31"/>
      <c r="AB80" s="31"/>
      <c r="AC80" s="31"/>
      <c r="AD80" s="31"/>
      <c r="AE80" s="33"/>
      <c r="CC80" s="223"/>
      <c r="CD80" s="33"/>
    </row>
    <row r="81" spans="3:82">
      <c r="C81" t="str">
        <f t="shared" si="6"/>
        <v>Patrouilleur</v>
      </c>
      <c r="W81" s="62" t="s">
        <v>687</v>
      </c>
      <c r="X81" s="65" t="s">
        <v>7</v>
      </c>
      <c r="Z81" s="31"/>
      <c r="AA81" s="31"/>
      <c r="AB81" s="31"/>
      <c r="AC81" s="31"/>
      <c r="AD81" s="31"/>
      <c r="AE81" s="33"/>
      <c r="CC81" s="223"/>
      <c r="CD81" s="33"/>
    </row>
    <row r="82" spans="3:82">
      <c r="C82" t="str">
        <f t="shared" si="6"/>
        <v xml:space="preserve">Patrouilleur Fluviale </v>
      </c>
      <c r="W82" s="64" t="s">
        <v>321</v>
      </c>
      <c r="X82" s="65" t="s">
        <v>10</v>
      </c>
      <c r="Z82" s="31"/>
      <c r="AA82" s="31"/>
      <c r="AB82" s="31"/>
      <c r="AC82" s="31"/>
      <c r="AD82" s="31"/>
      <c r="AE82" s="33"/>
      <c r="CC82" s="223"/>
      <c r="CD82" s="33"/>
    </row>
    <row r="83" spans="3:82">
      <c r="C83" t="str">
        <f t="shared" si="6"/>
        <v xml:space="preserve">Pilleur de Tombes </v>
      </c>
      <c r="W83" s="64" t="s">
        <v>507</v>
      </c>
      <c r="X83" s="65" t="s">
        <v>10</v>
      </c>
      <c r="Z83" s="31"/>
      <c r="AA83" s="31"/>
      <c r="AB83" s="31"/>
      <c r="AC83" s="31"/>
      <c r="AD83" s="31"/>
      <c r="AE83" s="33"/>
      <c r="CC83" s="223"/>
      <c r="CD83" s="33"/>
    </row>
    <row r="84" spans="3:82">
      <c r="C84" t="str">
        <f t="shared" si="6"/>
        <v xml:space="preserve">Prêtre </v>
      </c>
      <c r="W84" s="64" t="s">
        <v>508</v>
      </c>
      <c r="X84" s="65" t="s">
        <v>10</v>
      </c>
      <c r="Z84" s="31"/>
      <c r="AA84" s="31"/>
      <c r="AB84" s="31"/>
      <c r="AC84" s="31"/>
      <c r="AD84" s="31"/>
      <c r="AE84" s="33"/>
      <c r="CC84" s="223"/>
      <c r="CD84" s="33"/>
    </row>
    <row r="85" spans="3:82">
      <c r="C85" t="str">
        <f t="shared" si="6"/>
        <v>Prêtre Guerrier</v>
      </c>
      <c r="W85" s="64" t="s">
        <v>310</v>
      </c>
      <c r="X85" s="65" t="s">
        <v>10</v>
      </c>
      <c r="Z85" s="31"/>
      <c r="AA85" s="31"/>
      <c r="AB85" s="31"/>
      <c r="AC85" s="31"/>
      <c r="AD85" s="31"/>
      <c r="AE85" s="33"/>
      <c r="CC85" s="223"/>
      <c r="CD85" s="33"/>
    </row>
    <row r="86" spans="3:82">
      <c r="C86" t="str">
        <f t="shared" si="6"/>
        <v xml:space="preserve">Rançonneur </v>
      </c>
      <c r="W86" s="64" t="s">
        <v>767</v>
      </c>
      <c r="X86" s="65" t="s">
        <v>10</v>
      </c>
      <c r="Z86" s="31"/>
      <c r="AA86" s="31"/>
      <c r="AB86" s="31"/>
      <c r="AC86" s="31"/>
      <c r="AD86" s="31"/>
      <c r="AE86" s="33"/>
      <c r="CC86" s="223"/>
      <c r="CD86" s="33"/>
    </row>
    <row r="87" spans="3:82">
      <c r="C87" t="str">
        <f t="shared" si="6"/>
        <v>Ratier</v>
      </c>
      <c r="W87" s="64" t="s">
        <v>855</v>
      </c>
      <c r="X87" s="65" t="s">
        <v>10</v>
      </c>
      <c r="Z87" s="31"/>
      <c r="AA87" s="31"/>
      <c r="AB87" s="31"/>
      <c r="AC87" s="31"/>
      <c r="AD87" s="31"/>
      <c r="AE87" s="33"/>
      <c r="CC87" s="223"/>
      <c r="CD87" s="33"/>
    </row>
    <row r="88" spans="3:82">
      <c r="C88" t="str">
        <f t="shared" si="6"/>
        <v xml:space="preserve">Receleur </v>
      </c>
      <c r="W88" s="64" t="s">
        <v>309</v>
      </c>
      <c r="X88" s="65" t="s">
        <v>10</v>
      </c>
      <c r="Z88" s="31"/>
      <c r="AA88" s="31"/>
      <c r="AB88" s="31"/>
      <c r="AC88" s="31"/>
      <c r="AD88" s="31"/>
      <c r="AE88" s="33"/>
      <c r="CC88" s="223"/>
      <c r="CD88" s="33"/>
    </row>
    <row r="89" spans="3:82">
      <c r="C89" t="str">
        <f t="shared" si="6"/>
        <v>Répurgateur</v>
      </c>
      <c r="W89" s="64" t="s">
        <v>335</v>
      </c>
      <c r="X89" s="65" t="s">
        <v>10</v>
      </c>
      <c r="Z89" s="31"/>
      <c r="AA89" s="31"/>
      <c r="AB89" s="31"/>
      <c r="AC89" s="31"/>
      <c r="AD89" s="31"/>
      <c r="AE89" s="33"/>
      <c r="CC89" s="223"/>
      <c r="CD89" s="33"/>
    </row>
    <row r="90" spans="3:82">
      <c r="C90" t="str">
        <f t="shared" si="6"/>
        <v>Saltimbanque</v>
      </c>
      <c r="W90" s="64" t="s">
        <v>308</v>
      </c>
      <c r="X90" s="65" t="s">
        <v>10</v>
      </c>
      <c r="Z90" s="31"/>
      <c r="AA90" s="31"/>
      <c r="AB90" s="31"/>
      <c r="AC90" s="31"/>
      <c r="AD90" s="31"/>
      <c r="AE90" s="33"/>
      <c r="CC90" s="223"/>
      <c r="CD90" s="33"/>
    </row>
    <row r="91" spans="3:82">
      <c r="C91" t="str">
        <f t="shared" si="6"/>
        <v xml:space="preserve">Serviteur </v>
      </c>
      <c r="W91" s="64" t="s">
        <v>306</v>
      </c>
      <c r="X91" s="65" t="s">
        <v>10</v>
      </c>
      <c r="Z91" s="31"/>
      <c r="AA91" s="31"/>
      <c r="AB91" s="31"/>
      <c r="AC91" s="31"/>
      <c r="AD91" s="31"/>
      <c r="AE91" s="33"/>
      <c r="CC91" s="223"/>
      <c r="CD91" s="33"/>
    </row>
    <row r="92" spans="3:82">
      <c r="C92" t="str">
        <f t="shared" si="6"/>
        <v xml:space="preserve">Soldat </v>
      </c>
      <c r="W92" s="64" t="s">
        <v>336</v>
      </c>
      <c r="X92" s="65" t="s">
        <v>10</v>
      </c>
      <c r="Z92" s="31"/>
      <c r="AA92" s="31"/>
      <c r="AB92" s="31"/>
      <c r="AC92" s="31"/>
      <c r="AD92" s="31"/>
      <c r="AE92" s="33"/>
      <c r="CC92" s="223"/>
      <c r="CD92" s="33"/>
    </row>
    <row r="93" spans="3:82">
      <c r="C93" t="str">
        <f t="shared" ref="C93:C98" si="7">VLOOKUP($C$1,$D$2:$CW$6,ROW(D94),FALSE)</f>
        <v xml:space="preserve">Sorcier de Village </v>
      </c>
      <c r="E93" s="209"/>
      <c r="F93" s="209"/>
      <c r="G93" s="209"/>
      <c r="H93" s="209"/>
      <c r="I93" s="209"/>
      <c r="J93" s="209"/>
      <c r="K93" s="209"/>
      <c r="L93" s="209"/>
      <c r="M93" s="209"/>
      <c r="N93" s="209"/>
      <c r="O93" s="209"/>
      <c r="P93" s="209"/>
      <c r="Q93" s="209"/>
      <c r="R93" s="209"/>
      <c r="S93" s="209"/>
      <c r="W93" s="62" t="s">
        <v>766</v>
      </c>
      <c r="X93" s="65" t="s">
        <v>10</v>
      </c>
      <c r="Z93" s="203"/>
      <c r="AA93" s="203"/>
      <c r="AB93" s="203"/>
      <c r="AC93" s="203"/>
      <c r="AD93" s="203"/>
      <c r="AE93" s="33"/>
      <c r="CC93" s="223"/>
      <c r="CD93" s="33"/>
    </row>
    <row r="94" spans="3:82">
      <c r="C94" t="str">
        <f t="shared" si="7"/>
        <v>Sorcière sauvage</v>
      </c>
      <c r="W94" s="64" t="s">
        <v>856</v>
      </c>
      <c r="X94" s="65" t="s">
        <v>10</v>
      </c>
      <c r="Z94" s="31"/>
      <c r="AA94" s="31"/>
      <c r="AB94" s="31"/>
      <c r="AC94" s="31"/>
      <c r="AD94" s="31"/>
      <c r="AE94" s="33"/>
      <c r="CC94" s="223"/>
      <c r="CD94" s="33"/>
    </row>
    <row r="95" spans="3:82">
      <c r="C95" t="str">
        <f t="shared" si="7"/>
        <v xml:space="preserve">Spadassin </v>
      </c>
      <c r="W95" s="62" t="s">
        <v>307</v>
      </c>
      <c r="X95" s="65" t="s">
        <v>10</v>
      </c>
      <c r="Z95" s="31"/>
      <c r="AA95" s="31"/>
      <c r="AB95" s="31"/>
      <c r="AC95" s="31"/>
      <c r="AD95" s="31"/>
      <c r="AE95" s="33"/>
      <c r="CC95" s="223"/>
      <c r="CD95" s="33"/>
    </row>
    <row r="96" spans="3:82">
      <c r="C96" t="str">
        <f t="shared" si="7"/>
        <v>Villageois</v>
      </c>
      <c r="W96" s="64" t="s">
        <v>765</v>
      </c>
      <c r="X96" s="65" t="s">
        <v>10</v>
      </c>
      <c r="Z96" s="31"/>
      <c r="AA96" s="31"/>
      <c r="AB96" s="31"/>
      <c r="AC96" s="31"/>
      <c r="AD96" s="31"/>
      <c r="AE96" s="33"/>
      <c r="CC96" s="223"/>
      <c r="CD96" s="33"/>
    </row>
    <row r="97" spans="1:85">
      <c r="C97" t="str">
        <f t="shared" si="7"/>
        <v xml:space="preserve">Voleur </v>
      </c>
      <c r="W97" s="64" t="s">
        <v>305</v>
      </c>
      <c r="X97" s="65" t="s">
        <v>10</v>
      </c>
      <c r="Z97" s="31"/>
      <c r="AA97" s="31"/>
      <c r="AB97" s="31"/>
      <c r="AC97" s="31"/>
      <c r="AD97" s="31"/>
      <c r="AE97" s="33"/>
      <c r="CC97" s="223"/>
      <c r="CD97" s="33"/>
    </row>
    <row r="98" spans="1:85" ht="15.75" thickBot="1">
      <c r="C98" t="e">
        <f t="shared" si="7"/>
        <v>#REF!</v>
      </c>
      <c r="W98" s="237" t="s">
        <v>304</v>
      </c>
      <c r="X98" s="67" t="s">
        <v>10</v>
      </c>
      <c r="Z98" s="31"/>
      <c r="AA98" s="31"/>
      <c r="AB98" s="31"/>
      <c r="AC98" s="31"/>
      <c r="AD98" s="31"/>
      <c r="AE98" s="33"/>
    </row>
    <row r="99" spans="1:85">
      <c r="Z99" s="31"/>
      <c r="AA99" s="31"/>
      <c r="AB99" s="31"/>
      <c r="AC99" s="31"/>
      <c r="AD99" s="31"/>
      <c r="AE99" s="33"/>
    </row>
    <row r="100" spans="1:85">
      <c r="Z100" s="31"/>
      <c r="AA100" s="31"/>
      <c r="AB100" s="31"/>
      <c r="AC100" s="31"/>
      <c r="AD100" s="31"/>
      <c r="AE100" s="33"/>
    </row>
    <row r="101" spans="1:85">
      <c r="Z101" s="31"/>
      <c r="AA101" s="31"/>
      <c r="AB101" s="31"/>
      <c r="AC101" s="31"/>
      <c r="AD101" s="31"/>
      <c r="AE101" s="33"/>
    </row>
    <row r="102" spans="1:85">
      <c r="Z102" s="31"/>
      <c r="AA102" s="31"/>
      <c r="AB102" s="31"/>
      <c r="AC102" s="31"/>
      <c r="AD102" s="31"/>
      <c r="AE102" s="33"/>
    </row>
    <row r="103" spans="1:85">
      <c r="Z103" s="31"/>
      <c r="AA103" s="31"/>
      <c r="AB103" s="31"/>
      <c r="AC103" s="31"/>
      <c r="AD103" s="31"/>
      <c r="AE103" s="33"/>
    </row>
    <row r="104" spans="1:85">
      <c r="Z104" s="31"/>
      <c r="AA104" s="31"/>
      <c r="AB104" s="31"/>
      <c r="AC104" s="31"/>
      <c r="AD104" s="31"/>
      <c r="AE104" s="33"/>
    </row>
    <row r="105" spans="1:85">
      <c r="Z105" s="31"/>
      <c r="AA105" s="31"/>
      <c r="AB105" s="31"/>
      <c r="AC105" s="31"/>
      <c r="AD105" s="31"/>
      <c r="AE105" s="33"/>
    </row>
    <row r="106" spans="1:85">
      <c r="Z106" s="31"/>
      <c r="AA106" s="31"/>
      <c r="AB106" s="31"/>
      <c r="AC106" s="31"/>
      <c r="AD106" s="31"/>
      <c r="AE106" s="33"/>
    </row>
    <row r="107" spans="1:85">
      <c r="Z107" s="31"/>
      <c r="AA107" s="31"/>
      <c r="AB107" s="31"/>
      <c r="AC107" s="31"/>
      <c r="AD107" s="31"/>
      <c r="AE107" s="33"/>
    </row>
    <row r="108" spans="1:85">
      <c r="Z108" s="31"/>
      <c r="AA108" s="31"/>
      <c r="AB108" s="31"/>
      <c r="AC108" s="31"/>
      <c r="AD108" s="31"/>
      <c r="AE108" s="33"/>
    </row>
    <row r="109" spans="1:85">
      <c r="Z109" s="31"/>
      <c r="AA109" s="31"/>
      <c r="AB109" s="31"/>
      <c r="AC109" s="31"/>
      <c r="AD109" s="31"/>
      <c r="AE109" s="33"/>
    </row>
    <row r="110" spans="1:85">
      <c r="C110" s="464"/>
      <c r="Z110" s="31"/>
      <c r="AA110" s="31"/>
      <c r="AB110" s="31"/>
      <c r="AC110" s="31"/>
      <c r="AD110" s="31"/>
      <c r="AE110" s="33"/>
    </row>
    <row r="111" spans="1:85">
      <c r="C111" s="460"/>
      <c r="Z111" s="31"/>
      <c r="AA111" s="31"/>
      <c r="AB111" s="31"/>
      <c r="AC111" s="31"/>
      <c r="AD111" s="31"/>
      <c r="AE111" s="33"/>
    </row>
    <row r="112" spans="1:85">
      <c r="A112" s="462"/>
      <c r="B112" s="462"/>
      <c r="C112" s="460"/>
      <c r="G112" s="463"/>
      <c r="H112" s="463"/>
      <c r="I112" s="463"/>
      <c r="J112" s="463"/>
      <c r="K112" s="463"/>
      <c r="L112" s="463"/>
      <c r="M112" s="463"/>
      <c r="N112" s="463"/>
      <c r="O112" s="463"/>
      <c r="P112" s="463"/>
      <c r="Q112" s="463"/>
      <c r="R112" s="463"/>
      <c r="Z112" s="33"/>
      <c r="AA112" s="33"/>
      <c r="AB112" s="33"/>
      <c r="AC112" s="33"/>
      <c r="AD112" s="33"/>
      <c r="AE112" s="33"/>
      <c r="CG112" s="4"/>
    </row>
    <row r="113" spans="1:18">
      <c r="A113" s="462"/>
      <c r="B113" s="462"/>
      <c r="C113" s="460"/>
      <c r="G113" s="463"/>
      <c r="H113" s="463"/>
      <c r="I113" s="463"/>
      <c r="J113" s="463"/>
      <c r="K113" s="463"/>
      <c r="L113" s="463"/>
      <c r="M113" s="463"/>
      <c r="N113" s="463"/>
      <c r="O113" s="463"/>
      <c r="P113" s="463"/>
      <c r="Q113" s="463"/>
      <c r="R113" s="463"/>
    </row>
    <row r="114" spans="1:18">
      <c r="A114" s="462"/>
      <c r="B114" s="462"/>
      <c r="C114" s="461"/>
      <c r="G114" s="463"/>
      <c r="H114" s="463"/>
      <c r="I114" s="463"/>
      <c r="J114" s="463"/>
      <c r="K114" s="463"/>
      <c r="L114" s="463"/>
      <c r="M114" s="463"/>
      <c r="N114" s="463"/>
      <c r="O114" s="463"/>
      <c r="P114" s="463"/>
      <c r="Q114" s="463"/>
      <c r="R114" s="463"/>
    </row>
    <row r="115" spans="1:18">
      <c r="A115" s="462"/>
      <c r="B115" s="462"/>
      <c r="C115" s="461"/>
      <c r="G115" s="463"/>
      <c r="H115" s="463"/>
      <c r="I115" s="463"/>
      <c r="J115" s="463"/>
      <c r="K115" s="463"/>
      <c r="L115" s="463"/>
      <c r="M115" s="463"/>
      <c r="N115" s="463"/>
      <c r="O115" s="463"/>
      <c r="P115" s="463"/>
      <c r="Q115" s="463"/>
      <c r="R115" s="463"/>
    </row>
    <row r="116" spans="1:18">
      <c r="A116" s="462"/>
      <c r="B116" s="462"/>
      <c r="C116" s="461"/>
      <c r="G116" s="463"/>
      <c r="H116" s="463"/>
      <c r="I116" s="463"/>
      <c r="J116" s="463"/>
      <c r="K116" s="463"/>
      <c r="L116" s="463"/>
      <c r="M116" s="463"/>
      <c r="N116" s="463"/>
      <c r="O116" s="463"/>
      <c r="P116" s="463"/>
      <c r="Q116" s="463"/>
      <c r="R116" s="463"/>
    </row>
    <row r="117" spans="1:18">
      <c r="A117" s="462"/>
      <c r="B117" s="462"/>
      <c r="C117" s="461"/>
      <c r="G117" s="463"/>
      <c r="H117" s="463"/>
      <c r="I117" s="463"/>
      <c r="J117" s="463"/>
      <c r="K117" s="463"/>
      <c r="L117" s="463"/>
      <c r="M117" s="463"/>
      <c r="N117" s="463"/>
      <c r="O117" s="463"/>
      <c r="P117" s="463"/>
      <c r="Q117" s="463"/>
      <c r="R117" s="463"/>
    </row>
    <row r="118" spans="1:18">
      <c r="A118" s="462"/>
      <c r="B118" s="462"/>
      <c r="C118" s="460"/>
      <c r="G118" s="463"/>
      <c r="H118" s="463"/>
      <c r="I118" s="463"/>
      <c r="J118" s="463"/>
      <c r="K118" s="463"/>
      <c r="L118" s="463"/>
      <c r="M118" s="463"/>
      <c r="N118" s="463"/>
      <c r="O118" s="463"/>
      <c r="P118" s="463"/>
      <c r="Q118" s="463"/>
      <c r="R118" s="463"/>
    </row>
    <row r="119" spans="1:18">
      <c r="A119" s="462"/>
      <c r="B119" s="462"/>
      <c r="C119" s="460"/>
      <c r="G119" s="463"/>
      <c r="H119" s="463"/>
      <c r="I119" s="463"/>
      <c r="J119" s="463"/>
      <c r="K119" s="463"/>
      <c r="L119" s="463"/>
      <c r="M119" s="463"/>
      <c r="N119" s="463"/>
      <c r="O119" s="463"/>
      <c r="P119" s="463"/>
      <c r="Q119" s="463"/>
      <c r="R119" s="463"/>
    </row>
    <row r="120" spans="1:18">
      <c r="A120" s="462"/>
      <c r="B120" s="462"/>
      <c r="C120" s="460"/>
      <c r="G120" s="463"/>
      <c r="H120" s="463"/>
      <c r="I120" s="463"/>
      <c r="J120" s="463"/>
      <c r="K120" s="463"/>
      <c r="L120" s="463"/>
      <c r="M120" s="463"/>
      <c r="N120" s="463"/>
      <c r="O120" s="463"/>
      <c r="P120" s="463"/>
      <c r="Q120" s="463"/>
      <c r="R120" s="463"/>
    </row>
    <row r="121" spans="1:18">
      <c r="A121" s="462"/>
      <c r="B121" s="462"/>
      <c r="C121" s="461"/>
      <c r="G121" s="463"/>
      <c r="H121" s="463"/>
      <c r="I121" s="463"/>
      <c r="J121" s="463"/>
      <c r="K121" s="463"/>
      <c r="L121" s="463"/>
      <c r="M121" s="463"/>
      <c r="N121" s="463"/>
      <c r="O121" s="463"/>
      <c r="P121" s="463"/>
      <c r="Q121" s="463"/>
      <c r="R121" s="463"/>
    </row>
    <row r="122" spans="1:18">
      <c r="A122" s="462"/>
      <c r="B122" s="462"/>
      <c r="C122" s="460"/>
      <c r="G122" s="463"/>
      <c r="H122" s="463"/>
      <c r="I122" s="463"/>
      <c r="J122" s="463"/>
      <c r="K122" s="463"/>
      <c r="L122" s="463"/>
      <c r="M122" s="463"/>
      <c r="N122" s="463"/>
      <c r="O122" s="463"/>
      <c r="P122" s="463"/>
      <c r="Q122" s="463"/>
      <c r="R122" s="463"/>
    </row>
    <row r="123" spans="1:18">
      <c r="A123" s="462"/>
      <c r="B123" s="462"/>
      <c r="C123" s="461"/>
      <c r="G123" s="463"/>
      <c r="H123" s="463"/>
      <c r="I123" s="463"/>
      <c r="J123" s="463"/>
      <c r="K123" s="463"/>
      <c r="L123" s="463"/>
      <c r="M123" s="463"/>
      <c r="N123" s="463"/>
      <c r="O123" s="463"/>
      <c r="P123" s="463"/>
      <c r="Q123" s="463"/>
      <c r="R123" s="463"/>
    </row>
    <row r="124" spans="1:18">
      <c r="A124" s="462"/>
      <c r="B124" s="462"/>
      <c r="C124" s="461"/>
      <c r="G124" s="463"/>
      <c r="H124" s="463"/>
      <c r="I124" s="463"/>
      <c r="J124" s="463"/>
      <c r="K124" s="463"/>
      <c r="L124" s="463"/>
      <c r="M124" s="463"/>
      <c r="N124" s="463"/>
      <c r="O124" s="463"/>
      <c r="P124" s="463"/>
      <c r="Q124" s="463"/>
      <c r="R124" s="463"/>
    </row>
    <row r="125" spans="1:18">
      <c r="A125" s="462"/>
      <c r="B125" s="462"/>
      <c r="C125" s="460"/>
      <c r="G125" s="463"/>
      <c r="H125" s="463"/>
      <c r="I125" s="463"/>
      <c r="J125" s="463"/>
      <c r="K125" s="463"/>
      <c r="L125" s="463"/>
      <c r="M125" s="463"/>
      <c r="N125" s="463"/>
      <c r="O125" s="463"/>
      <c r="P125" s="463"/>
      <c r="Q125" s="463"/>
      <c r="R125" s="463"/>
    </row>
    <row r="126" spans="1:18">
      <c r="A126" s="462"/>
      <c r="B126" s="462"/>
      <c r="C126" s="460"/>
      <c r="G126" s="463"/>
      <c r="H126" s="463"/>
      <c r="I126" s="463"/>
      <c r="J126" s="463"/>
      <c r="K126" s="463"/>
      <c r="L126" s="463"/>
      <c r="M126" s="463"/>
      <c r="N126" s="463"/>
      <c r="O126" s="463"/>
      <c r="P126" s="463"/>
      <c r="Q126" s="463"/>
      <c r="R126" s="463"/>
    </row>
    <row r="127" spans="1:18">
      <c r="A127" s="462"/>
      <c r="B127" s="462"/>
      <c r="C127" s="461"/>
      <c r="G127" s="463"/>
      <c r="H127" s="463"/>
      <c r="I127" s="463"/>
      <c r="J127" s="463"/>
      <c r="K127" s="463"/>
      <c r="L127" s="463"/>
      <c r="M127" s="463"/>
      <c r="N127" s="463"/>
      <c r="O127" s="463"/>
      <c r="P127" s="463"/>
      <c r="Q127" s="463"/>
      <c r="R127" s="463"/>
    </row>
    <row r="128" spans="1:18">
      <c r="A128" s="462"/>
      <c r="B128" s="462"/>
      <c r="C128" s="460"/>
      <c r="G128" s="463"/>
      <c r="H128" s="463"/>
      <c r="I128" s="463"/>
      <c r="J128" s="463"/>
      <c r="K128" s="463"/>
      <c r="L128" s="463"/>
      <c r="M128" s="463"/>
      <c r="N128" s="463"/>
      <c r="O128" s="463"/>
      <c r="P128" s="463"/>
      <c r="Q128" s="463"/>
      <c r="R128" s="463"/>
    </row>
    <row r="129" spans="1:18">
      <c r="A129" s="462"/>
      <c r="B129" s="462"/>
      <c r="C129" s="461"/>
      <c r="G129" s="463"/>
      <c r="H129" s="463"/>
      <c r="I129" s="463"/>
      <c r="J129" s="463"/>
      <c r="K129" s="463"/>
      <c r="L129" s="463"/>
      <c r="M129" s="463"/>
      <c r="N129" s="463"/>
      <c r="O129" s="463"/>
      <c r="P129" s="463"/>
      <c r="Q129" s="463"/>
      <c r="R129" s="463"/>
    </row>
    <row r="130" spans="1:18">
      <c r="A130" s="462"/>
      <c r="B130" s="462"/>
      <c r="C130" s="460"/>
      <c r="G130" s="463"/>
      <c r="H130" s="463"/>
      <c r="I130" s="463"/>
      <c r="J130" s="463"/>
      <c r="K130" s="463"/>
      <c r="L130" s="463"/>
      <c r="M130" s="463"/>
      <c r="N130" s="463"/>
      <c r="O130" s="463"/>
      <c r="P130" s="463"/>
      <c r="Q130" s="463"/>
      <c r="R130" s="463"/>
    </row>
    <row r="131" spans="1:18">
      <c r="A131" s="462"/>
      <c r="B131" s="462"/>
      <c r="C131" s="460"/>
      <c r="G131" s="463"/>
      <c r="H131" s="463"/>
      <c r="I131" s="463"/>
      <c r="J131" s="463"/>
      <c r="K131" s="463"/>
      <c r="L131" s="463"/>
      <c r="M131" s="463"/>
      <c r="N131" s="463"/>
      <c r="O131" s="463"/>
      <c r="P131" s="463"/>
      <c r="Q131" s="463"/>
      <c r="R131" s="463"/>
    </row>
    <row r="132" spans="1:18">
      <c r="A132" s="462"/>
      <c r="B132" s="462"/>
      <c r="C132" s="460"/>
      <c r="G132" s="463"/>
      <c r="H132" s="463"/>
      <c r="I132" s="463"/>
      <c r="J132" s="463"/>
      <c r="K132" s="463"/>
      <c r="L132" s="463"/>
      <c r="M132" s="463"/>
      <c r="N132" s="463"/>
      <c r="O132" s="463"/>
      <c r="P132" s="463"/>
      <c r="Q132" s="463"/>
      <c r="R132" s="463"/>
    </row>
    <row r="133" spans="1:18">
      <c r="A133" s="462"/>
      <c r="B133" s="462"/>
      <c r="C133" s="460"/>
      <c r="G133" s="463"/>
      <c r="H133" s="463"/>
      <c r="I133" s="463"/>
      <c r="J133" s="463"/>
      <c r="K133" s="463"/>
      <c r="L133" s="463"/>
      <c r="M133" s="463"/>
      <c r="N133" s="463"/>
      <c r="O133" s="463"/>
      <c r="P133" s="463"/>
      <c r="Q133" s="463"/>
      <c r="R133" s="463"/>
    </row>
    <row r="134" spans="1:18">
      <c r="A134" s="462"/>
      <c r="B134" s="462"/>
      <c r="C134" s="461"/>
      <c r="G134" s="463"/>
      <c r="H134" s="463"/>
      <c r="I134" s="463"/>
      <c r="J134" s="463"/>
      <c r="K134" s="463"/>
      <c r="L134" s="463"/>
      <c r="M134" s="463"/>
      <c r="N134" s="463"/>
      <c r="O134" s="463"/>
      <c r="P134" s="463"/>
      <c r="Q134" s="463"/>
      <c r="R134" s="463"/>
    </row>
    <row r="135" spans="1:18">
      <c r="A135" s="462"/>
      <c r="B135" s="462"/>
      <c r="C135" s="460"/>
      <c r="G135" s="463"/>
      <c r="H135" s="463"/>
      <c r="I135" s="463"/>
      <c r="J135" s="463"/>
      <c r="K135" s="463"/>
      <c r="L135" s="463"/>
      <c r="M135" s="463"/>
      <c r="N135" s="463"/>
      <c r="O135" s="463"/>
      <c r="P135" s="463"/>
      <c r="Q135" s="463"/>
      <c r="R135" s="463"/>
    </row>
    <row r="136" spans="1:18">
      <c r="A136" s="462"/>
      <c r="B136" s="462"/>
      <c r="C136" s="460"/>
      <c r="G136" s="463"/>
      <c r="H136" s="463"/>
      <c r="I136" s="463"/>
      <c r="J136" s="463"/>
      <c r="K136" s="463"/>
      <c r="L136" s="463"/>
      <c r="M136" s="463"/>
      <c r="N136" s="463"/>
      <c r="O136" s="463"/>
      <c r="P136" s="463"/>
      <c r="Q136" s="463"/>
      <c r="R136" s="463"/>
    </row>
    <row r="137" spans="1:18">
      <c r="A137" s="462"/>
      <c r="B137" s="462"/>
      <c r="C137" s="461"/>
      <c r="G137" s="463"/>
      <c r="H137" s="463"/>
      <c r="I137" s="463"/>
      <c r="J137" s="463"/>
      <c r="K137" s="463"/>
      <c r="L137" s="463"/>
      <c r="M137" s="463"/>
      <c r="N137" s="463"/>
      <c r="O137" s="463"/>
      <c r="P137" s="463"/>
      <c r="Q137" s="463"/>
      <c r="R137" s="463"/>
    </row>
    <row r="138" spans="1:18">
      <c r="A138" s="462"/>
      <c r="B138" s="462"/>
      <c r="C138" s="461"/>
      <c r="G138" s="463"/>
      <c r="H138" s="463"/>
      <c r="I138" s="463"/>
      <c r="J138" s="463"/>
      <c r="K138" s="463"/>
      <c r="L138" s="463"/>
      <c r="M138" s="463"/>
      <c r="N138" s="463"/>
      <c r="O138" s="463"/>
      <c r="P138" s="463"/>
      <c r="Q138" s="463"/>
      <c r="R138" s="463"/>
    </row>
    <row r="139" spans="1:18">
      <c r="A139" s="462"/>
      <c r="B139" s="462"/>
      <c r="C139" s="460"/>
      <c r="G139" s="463"/>
      <c r="H139" s="463"/>
      <c r="I139" s="463"/>
      <c r="J139" s="463"/>
      <c r="K139" s="463"/>
      <c r="L139" s="463"/>
      <c r="M139" s="463"/>
      <c r="N139" s="463"/>
      <c r="O139" s="463"/>
      <c r="P139" s="463"/>
      <c r="Q139" s="463"/>
      <c r="R139" s="463"/>
    </row>
    <row r="140" spans="1:18">
      <c r="A140" s="462"/>
      <c r="B140" s="462"/>
      <c r="C140" s="461"/>
      <c r="G140" s="463"/>
      <c r="H140" s="463"/>
      <c r="I140" s="463"/>
      <c r="J140" s="463"/>
      <c r="K140" s="463"/>
      <c r="L140" s="463"/>
      <c r="M140" s="463"/>
      <c r="N140" s="463"/>
      <c r="O140" s="463"/>
      <c r="P140" s="463"/>
      <c r="Q140" s="463"/>
      <c r="R140" s="463"/>
    </row>
    <row r="141" spans="1:18">
      <c r="A141" s="462"/>
      <c r="B141" s="462"/>
      <c r="C141" s="461"/>
      <c r="G141" s="463"/>
      <c r="H141" s="463"/>
      <c r="I141" s="463"/>
      <c r="J141" s="463"/>
      <c r="K141" s="463"/>
      <c r="L141" s="463"/>
      <c r="M141" s="463"/>
      <c r="N141" s="463"/>
      <c r="O141" s="463"/>
      <c r="P141" s="463"/>
      <c r="Q141" s="463"/>
      <c r="R141" s="463"/>
    </row>
    <row r="142" spans="1:18">
      <c r="A142" s="462"/>
      <c r="B142" s="462"/>
      <c r="C142" s="461"/>
      <c r="G142" s="463"/>
      <c r="H142" s="463"/>
      <c r="I142" s="463"/>
      <c r="J142" s="463"/>
      <c r="K142" s="463"/>
      <c r="L142" s="463"/>
      <c r="M142" s="463"/>
      <c r="N142" s="463"/>
      <c r="O142" s="463"/>
      <c r="P142" s="463"/>
      <c r="Q142" s="463"/>
      <c r="R142" s="463"/>
    </row>
    <row r="143" spans="1:18">
      <c r="A143" s="462"/>
      <c r="B143" s="462"/>
      <c r="C143" s="460"/>
      <c r="G143" s="463"/>
      <c r="H143" s="463"/>
      <c r="I143" s="463"/>
      <c r="J143" s="463"/>
      <c r="K143" s="463"/>
      <c r="L143" s="463"/>
      <c r="M143" s="463"/>
      <c r="N143" s="463"/>
      <c r="O143" s="463"/>
      <c r="P143" s="463"/>
      <c r="Q143" s="463"/>
      <c r="R143" s="463"/>
    </row>
    <row r="144" spans="1:18">
      <c r="A144" s="462"/>
      <c r="B144" s="462"/>
      <c r="C144" s="460"/>
      <c r="G144" s="463"/>
      <c r="H144" s="463"/>
      <c r="I144" s="463"/>
      <c r="J144" s="463"/>
      <c r="K144" s="463"/>
      <c r="L144" s="463"/>
      <c r="M144" s="463"/>
      <c r="N144" s="463"/>
      <c r="O144" s="463"/>
      <c r="P144" s="463"/>
      <c r="Q144" s="463"/>
      <c r="R144" s="463"/>
    </row>
    <row r="145" spans="1:18">
      <c r="A145" s="462"/>
      <c r="B145" s="462"/>
      <c r="C145" s="460"/>
      <c r="G145" s="463"/>
      <c r="H145" s="463"/>
      <c r="I145" s="463"/>
      <c r="J145" s="463"/>
      <c r="K145" s="463"/>
      <c r="L145" s="463"/>
      <c r="M145" s="463"/>
      <c r="N145" s="463"/>
      <c r="O145" s="463"/>
      <c r="P145" s="463"/>
      <c r="Q145" s="463"/>
      <c r="R145" s="463"/>
    </row>
    <row r="146" spans="1:18">
      <c r="A146" s="462"/>
      <c r="B146" s="462"/>
      <c r="C146" s="460"/>
      <c r="G146" s="463"/>
      <c r="H146" s="463"/>
      <c r="I146" s="463"/>
      <c r="J146" s="463"/>
      <c r="K146" s="463"/>
      <c r="L146" s="463"/>
      <c r="M146" s="463"/>
      <c r="N146" s="463"/>
      <c r="O146" s="463"/>
      <c r="P146" s="463"/>
      <c r="Q146" s="463"/>
      <c r="R146" s="463"/>
    </row>
    <row r="147" spans="1:18">
      <c r="A147" s="462"/>
      <c r="B147" s="462"/>
      <c r="C147" s="460"/>
      <c r="G147" s="463"/>
      <c r="H147" s="463"/>
      <c r="I147" s="463"/>
      <c r="J147" s="463"/>
      <c r="K147" s="463"/>
      <c r="L147" s="463"/>
      <c r="M147" s="463"/>
      <c r="N147" s="463"/>
      <c r="O147" s="463"/>
      <c r="P147" s="463"/>
      <c r="Q147" s="463"/>
      <c r="R147" s="463"/>
    </row>
    <row r="148" spans="1:18">
      <c r="A148" s="462"/>
      <c r="B148" s="462"/>
      <c r="C148" s="461"/>
      <c r="G148" s="463"/>
      <c r="H148" s="463"/>
      <c r="I148" s="463"/>
      <c r="J148" s="463"/>
      <c r="K148" s="463"/>
      <c r="L148" s="463"/>
      <c r="M148" s="463"/>
      <c r="N148" s="463"/>
      <c r="O148" s="463"/>
      <c r="P148" s="463"/>
      <c r="Q148" s="463"/>
      <c r="R148" s="463"/>
    </row>
    <row r="149" spans="1:18">
      <c r="A149" s="462"/>
      <c r="B149" s="462"/>
      <c r="C149" s="461"/>
      <c r="G149" s="463"/>
      <c r="H149" s="463"/>
      <c r="I149" s="463"/>
      <c r="J149" s="463"/>
      <c r="K149" s="463"/>
      <c r="L149" s="463"/>
      <c r="M149" s="463"/>
      <c r="N149" s="463"/>
      <c r="O149" s="463"/>
      <c r="P149" s="463"/>
      <c r="Q149" s="463"/>
      <c r="R149" s="463"/>
    </row>
    <row r="150" spans="1:18">
      <c r="A150" s="462"/>
      <c r="B150" s="462"/>
      <c r="C150" s="460"/>
      <c r="G150" s="463"/>
      <c r="H150" s="463"/>
      <c r="I150" s="463"/>
      <c r="J150" s="463"/>
      <c r="K150" s="463"/>
      <c r="L150" s="463"/>
      <c r="M150" s="463"/>
      <c r="N150" s="463"/>
      <c r="O150" s="463"/>
      <c r="P150" s="463"/>
      <c r="Q150" s="463"/>
      <c r="R150" s="463"/>
    </row>
    <row r="151" spans="1:18">
      <c r="A151" s="462"/>
      <c r="B151" s="462"/>
      <c r="C151" s="461"/>
      <c r="G151" s="463"/>
      <c r="H151" s="463"/>
      <c r="I151" s="463"/>
      <c r="J151" s="463"/>
      <c r="K151" s="463"/>
      <c r="L151" s="463"/>
      <c r="M151" s="463"/>
      <c r="N151" s="463"/>
      <c r="O151" s="463"/>
      <c r="P151" s="463"/>
      <c r="Q151" s="463"/>
      <c r="R151" s="463"/>
    </row>
    <row r="152" spans="1:18">
      <c r="A152" s="462"/>
      <c r="B152" s="462"/>
      <c r="C152" s="460"/>
      <c r="G152" s="463"/>
      <c r="H152" s="463"/>
      <c r="I152" s="463"/>
      <c r="J152" s="463"/>
      <c r="K152" s="463"/>
      <c r="L152" s="463"/>
      <c r="M152" s="463"/>
      <c r="N152" s="463"/>
      <c r="O152" s="463"/>
      <c r="P152" s="463"/>
      <c r="Q152" s="463"/>
      <c r="R152" s="463"/>
    </row>
    <row r="153" spans="1:18">
      <c r="A153" s="462"/>
      <c r="B153" s="462"/>
      <c r="C153" s="461"/>
      <c r="G153" s="463"/>
      <c r="H153" s="463"/>
      <c r="I153" s="463"/>
      <c r="J153" s="463"/>
      <c r="K153" s="463"/>
      <c r="L153" s="463"/>
      <c r="M153" s="463"/>
      <c r="N153" s="463"/>
      <c r="O153" s="463"/>
      <c r="P153" s="463"/>
      <c r="Q153" s="463"/>
      <c r="R153" s="463"/>
    </row>
    <row r="154" spans="1:18">
      <c r="A154" s="462"/>
      <c r="B154" s="462"/>
      <c r="C154" s="461"/>
      <c r="G154" s="463"/>
      <c r="H154" s="463"/>
      <c r="I154" s="463"/>
      <c r="J154" s="463"/>
      <c r="K154" s="463"/>
      <c r="L154" s="463"/>
      <c r="M154" s="463"/>
      <c r="N154" s="463"/>
      <c r="O154" s="463"/>
      <c r="P154" s="463"/>
      <c r="Q154" s="463"/>
      <c r="R154" s="463"/>
    </row>
    <row r="155" spans="1:18">
      <c r="A155" s="462"/>
      <c r="B155" s="462"/>
      <c r="C155" s="460"/>
      <c r="G155" s="463"/>
      <c r="H155" s="463"/>
      <c r="I155" s="463"/>
      <c r="J155" s="463"/>
      <c r="K155" s="463"/>
      <c r="L155" s="463"/>
      <c r="M155" s="463"/>
      <c r="N155" s="463"/>
      <c r="O155" s="463"/>
      <c r="P155" s="463"/>
      <c r="Q155" s="463"/>
      <c r="R155" s="463"/>
    </row>
    <row r="156" spans="1:18">
      <c r="A156" s="462"/>
      <c r="B156" s="462"/>
      <c r="C156" s="461"/>
      <c r="G156" s="463"/>
      <c r="H156" s="463"/>
      <c r="I156" s="463"/>
      <c r="J156" s="463"/>
      <c r="K156" s="463"/>
      <c r="L156" s="463"/>
      <c r="M156" s="463"/>
      <c r="N156" s="463"/>
      <c r="O156" s="463"/>
      <c r="P156" s="463"/>
      <c r="Q156" s="463"/>
      <c r="R156" s="463"/>
    </row>
    <row r="157" spans="1:18">
      <c r="A157" s="462"/>
      <c r="B157" s="462"/>
      <c r="C157" s="461"/>
      <c r="G157" s="463"/>
      <c r="H157" s="463"/>
      <c r="I157" s="463"/>
      <c r="J157" s="463"/>
      <c r="K157" s="463"/>
      <c r="L157" s="463"/>
      <c r="M157" s="463"/>
      <c r="N157" s="463"/>
      <c r="O157" s="463"/>
      <c r="P157" s="463"/>
      <c r="Q157" s="463"/>
      <c r="R157" s="463"/>
    </row>
    <row r="158" spans="1:18">
      <c r="A158" s="462"/>
      <c r="B158" s="462"/>
      <c r="C158" s="461"/>
      <c r="G158" s="463"/>
      <c r="H158" s="463"/>
      <c r="I158" s="463"/>
      <c r="J158" s="463"/>
      <c r="K158" s="463"/>
      <c r="L158" s="463"/>
      <c r="M158" s="463"/>
      <c r="N158" s="463"/>
      <c r="O158" s="463"/>
      <c r="P158" s="463"/>
      <c r="Q158" s="463"/>
      <c r="R158" s="463"/>
    </row>
    <row r="159" spans="1:18">
      <c r="A159" s="462"/>
      <c r="B159" s="462"/>
      <c r="C159" s="461"/>
      <c r="G159" s="463"/>
      <c r="H159" s="463"/>
      <c r="I159" s="463"/>
      <c r="J159" s="463"/>
      <c r="K159" s="463"/>
      <c r="L159" s="463"/>
      <c r="M159" s="463"/>
      <c r="N159" s="463"/>
      <c r="O159" s="463"/>
      <c r="P159" s="463"/>
      <c r="Q159" s="463"/>
      <c r="R159" s="463"/>
    </row>
    <row r="160" spans="1:18">
      <c r="A160" s="462"/>
      <c r="B160" s="462"/>
      <c r="C160" s="461"/>
      <c r="G160" s="463"/>
      <c r="H160" s="463"/>
      <c r="I160" s="463"/>
      <c r="J160" s="463"/>
      <c r="K160" s="463"/>
      <c r="L160" s="463"/>
      <c r="M160" s="463"/>
      <c r="N160" s="463"/>
      <c r="O160" s="463"/>
      <c r="P160" s="463"/>
      <c r="Q160" s="463"/>
      <c r="R160" s="463"/>
    </row>
    <row r="161" spans="1:18">
      <c r="A161" s="462"/>
      <c r="B161" s="462"/>
      <c r="C161" s="460"/>
      <c r="G161" s="463"/>
      <c r="H161" s="463"/>
      <c r="I161" s="463"/>
      <c r="J161" s="463"/>
      <c r="K161" s="463"/>
      <c r="L161" s="463"/>
      <c r="M161" s="463"/>
      <c r="N161" s="463"/>
      <c r="O161" s="463"/>
      <c r="P161" s="463"/>
      <c r="Q161" s="463"/>
      <c r="R161" s="463"/>
    </row>
    <row r="162" spans="1:18">
      <c r="A162" s="462"/>
      <c r="B162" s="462"/>
      <c r="C162" s="461"/>
      <c r="G162" s="463"/>
      <c r="H162" s="463"/>
      <c r="I162" s="463"/>
      <c r="J162" s="463"/>
      <c r="K162" s="463"/>
      <c r="L162" s="463"/>
      <c r="M162" s="463"/>
      <c r="N162" s="463"/>
      <c r="O162" s="463"/>
      <c r="P162" s="463"/>
      <c r="Q162" s="463"/>
      <c r="R162" s="463"/>
    </row>
    <row r="163" spans="1:18">
      <c r="A163" s="462"/>
      <c r="B163" s="462"/>
      <c r="C163" s="460"/>
      <c r="G163" s="463"/>
      <c r="H163" s="463"/>
      <c r="I163" s="463"/>
      <c r="J163" s="463"/>
      <c r="K163" s="463"/>
      <c r="L163" s="463"/>
      <c r="M163" s="463"/>
      <c r="N163" s="463"/>
      <c r="O163" s="463"/>
      <c r="P163" s="463"/>
      <c r="Q163" s="463"/>
      <c r="R163" s="463"/>
    </row>
    <row r="164" spans="1:18">
      <c r="A164" s="462"/>
      <c r="B164" s="462"/>
      <c r="C164" s="460"/>
      <c r="G164" s="463"/>
      <c r="H164" s="463"/>
      <c r="I164" s="463"/>
      <c r="J164" s="463"/>
      <c r="K164" s="463"/>
      <c r="L164" s="463"/>
      <c r="M164" s="463"/>
      <c r="N164" s="463"/>
      <c r="O164" s="463"/>
      <c r="P164" s="463"/>
      <c r="Q164" s="463"/>
      <c r="R164" s="463"/>
    </row>
    <row r="165" spans="1:18">
      <c r="A165" s="462"/>
      <c r="B165" s="462"/>
      <c r="C165" s="460"/>
      <c r="G165" s="463"/>
      <c r="H165" s="463"/>
      <c r="I165" s="463"/>
      <c r="J165" s="463"/>
      <c r="K165" s="463"/>
      <c r="L165" s="463"/>
      <c r="M165" s="463"/>
      <c r="N165" s="463"/>
      <c r="O165" s="463"/>
      <c r="P165" s="463"/>
      <c r="Q165" s="463"/>
      <c r="R165" s="463"/>
    </row>
    <row r="166" spans="1:18">
      <c r="A166" s="462"/>
      <c r="B166" s="462"/>
      <c r="C166" s="460"/>
      <c r="G166" s="463"/>
      <c r="H166" s="463"/>
      <c r="I166" s="463"/>
      <c r="J166" s="463"/>
      <c r="K166" s="463"/>
      <c r="L166" s="463"/>
      <c r="M166" s="463"/>
      <c r="N166" s="463"/>
      <c r="O166" s="463"/>
      <c r="P166" s="463"/>
      <c r="Q166" s="463"/>
      <c r="R166" s="463"/>
    </row>
    <row r="167" spans="1:18">
      <c r="A167" s="462"/>
      <c r="B167" s="462"/>
      <c r="C167" s="461"/>
      <c r="G167" s="463"/>
      <c r="H167" s="463"/>
      <c r="I167" s="463"/>
      <c r="J167" s="463"/>
      <c r="K167" s="463"/>
      <c r="L167" s="463"/>
      <c r="M167" s="463"/>
      <c r="N167" s="463"/>
      <c r="O167" s="463"/>
      <c r="P167" s="463"/>
      <c r="Q167" s="463"/>
      <c r="R167" s="463"/>
    </row>
    <row r="168" spans="1:18">
      <c r="A168" s="462"/>
      <c r="B168" s="462"/>
      <c r="C168" s="460"/>
      <c r="G168" s="463"/>
      <c r="H168" s="463"/>
      <c r="I168" s="463"/>
      <c r="J168" s="463"/>
      <c r="K168" s="463"/>
      <c r="L168" s="463"/>
      <c r="M168" s="463"/>
      <c r="N168" s="463"/>
      <c r="O168" s="463"/>
      <c r="P168" s="463"/>
      <c r="Q168" s="463"/>
      <c r="R168" s="463"/>
    </row>
    <row r="169" spans="1:18">
      <c r="A169" s="462"/>
      <c r="B169" s="462"/>
      <c r="C169" s="461"/>
      <c r="G169" s="463"/>
      <c r="H169" s="463"/>
      <c r="I169" s="463"/>
      <c r="J169" s="463"/>
      <c r="K169" s="463"/>
      <c r="L169" s="463"/>
      <c r="M169" s="463"/>
      <c r="N169" s="463"/>
      <c r="O169" s="463"/>
      <c r="P169" s="463"/>
      <c r="Q169" s="463"/>
      <c r="R169" s="463"/>
    </row>
    <row r="170" spans="1:18">
      <c r="A170" s="462"/>
      <c r="B170" s="462"/>
      <c r="C170" s="461"/>
      <c r="G170" s="463"/>
      <c r="H170" s="463"/>
      <c r="I170" s="463"/>
      <c r="J170" s="463"/>
      <c r="K170" s="463"/>
      <c r="L170" s="463"/>
      <c r="M170" s="463"/>
      <c r="N170" s="463"/>
      <c r="O170" s="463"/>
      <c r="P170" s="463"/>
      <c r="Q170" s="463"/>
      <c r="R170" s="463"/>
    </row>
    <row r="171" spans="1:18">
      <c r="A171" s="462"/>
      <c r="B171" s="462"/>
      <c r="C171" s="461"/>
      <c r="G171" s="463"/>
      <c r="H171" s="463"/>
      <c r="I171" s="463"/>
      <c r="J171" s="463"/>
      <c r="K171" s="463"/>
      <c r="L171" s="463"/>
      <c r="M171" s="463"/>
      <c r="N171" s="463"/>
      <c r="O171" s="463"/>
      <c r="P171" s="463"/>
      <c r="Q171" s="463"/>
      <c r="R171" s="463"/>
    </row>
    <row r="172" spans="1:18">
      <c r="A172" s="462"/>
      <c r="B172" s="462"/>
      <c r="C172" s="461"/>
      <c r="G172" s="463"/>
      <c r="H172" s="463"/>
      <c r="I172" s="463"/>
      <c r="J172" s="463"/>
      <c r="K172" s="463"/>
      <c r="L172" s="463"/>
      <c r="M172" s="463"/>
      <c r="N172" s="463"/>
      <c r="O172" s="463"/>
      <c r="P172" s="463"/>
      <c r="Q172" s="463"/>
      <c r="R172" s="463"/>
    </row>
    <row r="173" spans="1:18">
      <c r="A173" s="462"/>
      <c r="B173" s="462"/>
      <c r="C173" s="460"/>
      <c r="G173" s="463"/>
      <c r="H173" s="463"/>
      <c r="I173" s="463"/>
      <c r="J173" s="463"/>
      <c r="K173" s="463"/>
      <c r="L173" s="463"/>
      <c r="M173" s="463"/>
      <c r="N173" s="463"/>
      <c r="O173" s="463"/>
      <c r="P173" s="463"/>
      <c r="Q173" s="463"/>
      <c r="R173" s="463"/>
    </row>
    <row r="174" spans="1:18">
      <c r="A174" s="462"/>
      <c r="B174" s="462"/>
      <c r="C174" s="460"/>
      <c r="G174" s="463"/>
      <c r="H174" s="463"/>
      <c r="I174" s="463"/>
      <c r="J174" s="463"/>
      <c r="K174" s="463"/>
      <c r="L174" s="463"/>
      <c r="M174" s="463"/>
      <c r="N174" s="463"/>
      <c r="O174" s="463"/>
      <c r="P174" s="463"/>
      <c r="Q174" s="463"/>
      <c r="R174" s="463"/>
    </row>
    <row r="175" spans="1:18">
      <c r="A175" s="462"/>
      <c r="B175" s="462"/>
      <c r="C175" s="460"/>
      <c r="G175" s="463"/>
      <c r="H175" s="463"/>
      <c r="I175" s="463"/>
      <c r="J175" s="463"/>
      <c r="K175" s="463"/>
      <c r="L175" s="463"/>
      <c r="M175" s="463"/>
      <c r="N175" s="463"/>
      <c r="O175" s="463"/>
      <c r="P175" s="463"/>
      <c r="Q175" s="463"/>
      <c r="R175" s="463"/>
    </row>
    <row r="176" spans="1:18">
      <c r="A176" s="462"/>
      <c r="B176" s="462"/>
      <c r="C176" s="460"/>
      <c r="D176" s="462"/>
      <c r="E176" s="463"/>
      <c r="F176" s="461"/>
      <c r="G176" s="463"/>
      <c r="H176" s="463"/>
      <c r="I176" s="463"/>
      <c r="J176" s="463"/>
      <c r="K176" s="463"/>
      <c r="L176" s="463"/>
      <c r="M176" s="463"/>
      <c r="N176" s="463"/>
      <c r="O176" s="463"/>
      <c r="P176" s="463"/>
      <c r="Q176" s="463"/>
      <c r="R176" s="463"/>
    </row>
    <row r="177" spans="1:18">
      <c r="A177" s="462"/>
      <c r="B177" s="462"/>
      <c r="C177" s="461"/>
      <c r="D177" s="462"/>
      <c r="E177" s="463"/>
      <c r="F177" s="460"/>
      <c r="G177" s="463"/>
      <c r="H177" s="463"/>
      <c r="I177" s="463"/>
      <c r="J177" s="463"/>
      <c r="K177" s="463"/>
      <c r="L177" s="463"/>
      <c r="M177" s="463"/>
      <c r="N177" s="463"/>
      <c r="O177" s="463"/>
      <c r="P177" s="463"/>
      <c r="Q177" s="463"/>
      <c r="R177" s="463"/>
    </row>
    <row r="178" spans="1:18">
      <c r="A178" s="462"/>
      <c r="B178" s="462"/>
      <c r="C178" s="461"/>
      <c r="D178" s="462"/>
      <c r="E178" s="463"/>
      <c r="F178" s="461"/>
      <c r="G178" s="463"/>
      <c r="H178" s="463"/>
      <c r="I178" s="463"/>
      <c r="J178" s="463"/>
      <c r="K178" s="463"/>
      <c r="L178" s="463"/>
      <c r="M178" s="463"/>
      <c r="N178" s="463"/>
      <c r="O178" s="463"/>
      <c r="P178" s="463"/>
      <c r="Q178" s="463"/>
      <c r="R178" s="463"/>
    </row>
    <row r="179" spans="1:18">
      <c r="A179" s="462"/>
      <c r="B179" s="462"/>
      <c r="C179" s="461"/>
      <c r="D179" s="462"/>
      <c r="E179" s="463"/>
      <c r="F179" s="460"/>
      <c r="G179" s="463"/>
      <c r="H179" s="463"/>
      <c r="I179" s="463"/>
      <c r="J179" s="463"/>
      <c r="K179" s="463"/>
      <c r="L179" s="463"/>
      <c r="M179" s="463"/>
      <c r="N179" s="463"/>
      <c r="O179" s="463"/>
      <c r="P179" s="463"/>
      <c r="Q179" s="463"/>
      <c r="R179" s="463"/>
    </row>
    <row r="180" spans="1:18">
      <c r="A180" s="462"/>
      <c r="B180" s="462"/>
      <c r="C180" s="461"/>
      <c r="D180" s="462"/>
      <c r="E180" s="463"/>
      <c r="F180" s="461"/>
      <c r="G180" s="463"/>
      <c r="H180" s="463"/>
      <c r="I180" s="463"/>
      <c r="J180" s="463"/>
      <c r="K180" s="463"/>
      <c r="L180" s="463"/>
      <c r="M180" s="463"/>
      <c r="N180" s="463"/>
      <c r="O180" s="463"/>
      <c r="P180" s="463"/>
      <c r="Q180" s="463"/>
      <c r="R180" s="463"/>
    </row>
    <row r="181" spans="1:18">
      <c r="A181" s="462"/>
      <c r="B181" s="462"/>
      <c r="C181" s="461"/>
      <c r="D181" s="462"/>
      <c r="E181" s="463"/>
      <c r="F181" s="463"/>
      <c r="G181" s="463"/>
      <c r="H181" s="463"/>
      <c r="I181" s="463"/>
      <c r="J181" s="463"/>
      <c r="K181" s="463"/>
      <c r="L181" s="463"/>
      <c r="M181" s="463"/>
      <c r="N181" s="463"/>
      <c r="O181" s="463"/>
      <c r="P181" s="463"/>
      <c r="Q181" s="463"/>
      <c r="R181" s="463"/>
    </row>
    <row r="182" spans="1:18">
      <c r="A182" s="462"/>
      <c r="B182" s="462"/>
      <c r="C182" s="460"/>
      <c r="D182" s="462"/>
      <c r="E182" s="463"/>
      <c r="F182" s="463"/>
      <c r="G182" s="463"/>
      <c r="H182" s="463"/>
      <c r="I182" s="463"/>
      <c r="J182" s="463"/>
      <c r="K182" s="463"/>
      <c r="L182" s="463"/>
      <c r="M182" s="463"/>
      <c r="N182" s="463"/>
      <c r="O182" s="463"/>
      <c r="P182" s="463"/>
      <c r="Q182" s="463"/>
      <c r="R182" s="463"/>
    </row>
    <row r="183" spans="1:18">
      <c r="A183" s="462"/>
      <c r="B183" s="462"/>
      <c r="C183" s="461"/>
      <c r="D183" s="462"/>
      <c r="E183" s="463"/>
      <c r="F183" s="463"/>
      <c r="G183" s="463"/>
      <c r="H183" s="463"/>
      <c r="I183" s="463"/>
      <c r="J183" s="463"/>
      <c r="K183" s="463"/>
      <c r="L183" s="463"/>
      <c r="M183" s="463"/>
      <c r="N183" s="463"/>
      <c r="O183" s="463"/>
      <c r="P183" s="463"/>
      <c r="Q183" s="463"/>
      <c r="R183" s="463"/>
    </row>
    <row r="184" spans="1:18">
      <c r="A184" s="462"/>
      <c r="B184" s="462"/>
      <c r="C184" s="461"/>
      <c r="D184" s="462"/>
      <c r="E184" s="463"/>
      <c r="F184" s="463"/>
      <c r="G184" s="463"/>
      <c r="H184" s="463"/>
      <c r="I184" s="463"/>
      <c r="J184" s="463"/>
      <c r="K184" s="463"/>
      <c r="L184" s="463"/>
      <c r="M184" s="463"/>
      <c r="N184" s="463"/>
      <c r="O184" s="463"/>
      <c r="P184" s="463"/>
      <c r="Q184" s="463"/>
      <c r="R184" s="463"/>
    </row>
    <row r="185" spans="1:18">
      <c r="A185" s="462"/>
      <c r="B185" s="462"/>
      <c r="C185" s="460"/>
      <c r="D185" s="462"/>
      <c r="E185" s="463"/>
      <c r="F185" s="463"/>
      <c r="G185" s="463"/>
      <c r="H185" s="463"/>
      <c r="I185" s="463"/>
      <c r="J185" s="463"/>
      <c r="K185" s="463"/>
      <c r="L185" s="463"/>
      <c r="M185" s="463"/>
      <c r="N185" s="463"/>
      <c r="O185" s="463"/>
      <c r="P185" s="463"/>
      <c r="Q185" s="463"/>
      <c r="R185" s="463"/>
    </row>
    <row r="186" spans="1:18">
      <c r="A186" s="462"/>
      <c r="B186" s="462"/>
      <c r="C186" s="460"/>
      <c r="D186" s="462"/>
      <c r="E186" s="463"/>
      <c r="F186" s="463"/>
      <c r="G186" s="463"/>
      <c r="H186" s="463"/>
      <c r="I186" s="463"/>
      <c r="J186" s="463"/>
      <c r="K186" s="463"/>
      <c r="L186" s="463"/>
      <c r="M186" s="463"/>
      <c r="N186" s="463"/>
      <c r="O186" s="463"/>
      <c r="P186" s="463"/>
      <c r="Q186" s="463"/>
      <c r="R186" s="463"/>
    </row>
    <row r="187" spans="1:18">
      <c r="A187" s="462"/>
      <c r="B187" s="462"/>
      <c r="C187" s="461"/>
      <c r="D187" s="462"/>
      <c r="E187" s="463"/>
      <c r="F187" s="463"/>
      <c r="G187" s="463"/>
      <c r="H187" s="463"/>
      <c r="I187" s="463"/>
      <c r="J187" s="463"/>
      <c r="K187" s="463"/>
      <c r="L187" s="463"/>
      <c r="M187" s="463"/>
      <c r="N187" s="463"/>
      <c r="O187" s="463"/>
      <c r="P187" s="463"/>
      <c r="Q187" s="463"/>
      <c r="R187" s="463"/>
    </row>
    <row r="188" spans="1:18">
      <c r="A188" s="462"/>
      <c r="B188" s="462"/>
      <c r="C188" s="461"/>
      <c r="D188" s="462"/>
      <c r="E188" s="463"/>
      <c r="F188" s="463"/>
      <c r="G188" s="463"/>
      <c r="H188" s="463"/>
      <c r="I188" s="463"/>
      <c r="J188" s="463"/>
      <c r="K188" s="463"/>
      <c r="L188" s="463"/>
      <c r="M188" s="463"/>
      <c r="N188" s="463"/>
      <c r="O188" s="463"/>
      <c r="P188" s="463"/>
      <c r="Q188" s="463"/>
      <c r="R188" s="463"/>
    </row>
    <row r="189" spans="1:18">
      <c r="A189" s="462"/>
      <c r="B189" s="462"/>
      <c r="C189" s="461"/>
      <c r="D189" s="462"/>
      <c r="E189" s="463"/>
      <c r="F189" s="463"/>
      <c r="G189" s="463"/>
      <c r="H189" s="463"/>
      <c r="I189" s="463"/>
      <c r="J189" s="463"/>
      <c r="K189" s="463"/>
      <c r="L189" s="463"/>
      <c r="M189" s="463"/>
      <c r="N189" s="463"/>
      <c r="O189" s="463"/>
      <c r="P189" s="463"/>
      <c r="Q189" s="463"/>
      <c r="R189" s="463"/>
    </row>
    <row r="190" spans="1:18">
      <c r="A190" s="462"/>
      <c r="B190" s="462"/>
      <c r="C190" s="461"/>
      <c r="D190" s="462"/>
      <c r="E190" s="463"/>
      <c r="F190" s="463"/>
      <c r="G190" s="463"/>
      <c r="H190" s="463"/>
      <c r="I190" s="463"/>
      <c r="J190" s="463"/>
      <c r="K190" s="463"/>
      <c r="L190" s="463"/>
      <c r="M190" s="463"/>
      <c r="N190" s="463"/>
      <c r="O190" s="463"/>
      <c r="P190" s="463"/>
      <c r="Q190" s="463"/>
      <c r="R190" s="463"/>
    </row>
    <row r="191" spans="1:18">
      <c r="A191" s="462"/>
      <c r="B191" s="462"/>
      <c r="C191" s="461"/>
      <c r="D191" s="462"/>
      <c r="E191" s="463"/>
      <c r="F191" s="463"/>
      <c r="G191" s="463"/>
      <c r="H191" s="463"/>
      <c r="I191" s="463"/>
      <c r="J191" s="463"/>
      <c r="K191" s="463"/>
      <c r="L191" s="463"/>
      <c r="M191" s="463"/>
      <c r="N191" s="463"/>
      <c r="O191" s="463"/>
      <c r="P191" s="463"/>
      <c r="Q191" s="463"/>
      <c r="R191" s="463"/>
    </row>
    <row r="192" spans="1:18">
      <c r="A192" s="462"/>
      <c r="B192" s="462"/>
      <c r="C192" s="461"/>
      <c r="D192" s="462"/>
      <c r="E192" s="463"/>
      <c r="F192" s="463"/>
      <c r="G192" s="463"/>
      <c r="H192" s="463"/>
      <c r="I192" s="463"/>
      <c r="J192" s="463"/>
      <c r="K192" s="463"/>
      <c r="L192" s="463"/>
      <c r="M192" s="463"/>
      <c r="N192" s="463"/>
      <c r="O192" s="463"/>
      <c r="P192" s="463"/>
      <c r="Q192" s="463"/>
      <c r="R192" s="463"/>
    </row>
    <row r="193" spans="1:18">
      <c r="A193" s="462"/>
      <c r="B193" s="462"/>
      <c r="C193" s="461"/>
      <c r="D193" s="462"/>
      <c r="E193" s="463"/>
      <c r="F193" s="463"/>
      <c r="G193" s="463"/>
      <c r="H193" s="463"/>
      <c r="I193" s="463"/>
      <c r="J193" s="463"/>
      <c r="K193" s="463"/>
      <c r="L193" s="463"/>
      <c r="M193" s="463"/>
      <c r="N193" s="463"/>
      <c r="O193" s="463"/>
      <c r="P193" s="463"/>
      <c r="Q193" s="463"/>
      <c r="R193" s="463"/>
    </row>
    <row r="194" spans="1:18">
      <c r="A194" s="462"/>
      <c r="B194" s="462"/>
      <c r="C194" s="460"/>
      <c r="D194" s="462"/>
      <c r="E194" s="463"/>
      <c r="F194" s="463"/>
      <c r="G194" s="463"/>
      <c r="H194" s="463"/>
      <c r="I194" s="463"/>
      <c r="J194" s="463"/>
      <c r="K194" s="463"/>
      <c r="L194" s="463"/>
      <c r="M194" s="463"/>
      <c r="N194" s="463"/>
      <c r="O194" s="463"/>
      <c r="P194" s="463"/>
      <c r="Q194" s="463"/>
      <c r="R194" s="463"/>
    </row>
    <row r="195" spans="1:18">
      <c r="A195" s="462"/>
      <c r="B195" s="462"/>
      <c r="C195" s="460"/>
      <c r="D195" s="462"/>
      <c r="E195" s="463"/>
      <c r="F195" s="463"/>
      <c r="G195" s="463"/>
      <c r="H195" s="463"/>
      <c r="I195" s="463"/>
      <c r="J195" s="463"/>
      <c r="K195" s="463"/>
      <c r="L195" s="463"/>
      <c r="M195" s="463"/>
      <c r="N195" s="463"/>
      <c r="O195" s="463"/>
      <c r="P195" s="463"/>
      <c r="Q195" s="463"/>
      <c r="R195" s="463"/>
    </row>
    <row r="196" spans="1:18">
      <c r="A196" s="462"/>
      <c r="B196" s="462"/>
      <c r="C196" s="461"/>
      <c r="D196" s="462"/>
      <c r="E196" s="463"/>
      <c r="F196" s="463"/>
      <c r="G196" s="463"/>
      <c r="H196" s="463"/>
      <c r="I196" s="463"/>
      <c r="J196" s="463"/>
      <c r="K196" s="463"/>
      <c r="L196" s="463"/>
      <c r="M196" s="463"/>
      <c r="N196" s="463"/>
      <c r="O196" s="463"/>
      <c r="P196" s="463"/>
      <c r="Q196" s="463"/>
      <c r="R196" s="463"/>
    </row>
    <row r="197" spans="1:18">
      <c r="A197" s="462"/>
      <c r="B197" s="462"/>
      <c r="C197" s="460"/>
      <c r="D197" s="462"/>
      <c r="E197" s="463"/>
      <c r="F197" s="463"/>
      <c r="G197" s="463"/>
      <c r="H197" s="463"/>
      <c r="I197" s="463"/>
      <c r="J197" s="463"/>
      <c r="K197" s="463"/>
      <c r="L197" s="463"/>
      <c r="M197" s="463"/>
      <c r="N197" s="463"/>
      <c r="O197" s="463"/>
      <c r="P197" s="463"/>
      <c r="Q197" s="463"/>
      <c r="R197" s="463"/>
    </row>
    <row r="198" spans="1:18">
      <c r="A198" s="462"/>
      <c r="B198" s="462"/>
      <c r="C198" s="460"/>
      <c r="D198" s="462"/>
      <c r="E198" s="463"/>
      <c r="F198" s="463"/>
      <c r="G198" s="463"/>
      <c r="H198" s="463"/>
      <c r="I198" s="463"/>
      <c r="J198" s="463"/>
      <c r="K198" s="463"/>
      <c r="L198" s="463"/>
      <c r="M198" s="463"/>
      <c r="N198" s="463"/>
      <c r="O198" s="463"/>
      <c r="P198" s="463"/>
      <c r="Q198" s="463"/>
      <c r="R198" s="463"/>
    </row>
    <row r="199" spans="1:18">
      <c r="A199" s="462"/>
      <c r="B199" s="462"/>
      <c r="C199" s="461"/>
      <c r="D199" s="462"/>
      <c r="E199" s="463"/>
      <c r="F199" s="463"/>
      <c r="G199" s="463"/>
      <c r="H199" s="463"/>
      <c r="I199" s="463"/>
      <c r="J199" s="463"/>
      <c r="K199" s="463"/>
      <c r="L199" s="463"/>
      <c r="M199" s="463"/>
      <c r="N199" s="463"/>
      <c r="O199" s="463"/>
      <c r="P199" s="463"/>
      <c r="Q199" s="463"/>
      <c r="R199" s="463"/>
    </row>
    <row r="200" spans="1:18">
      <c r="A200" s="462"/>
      <c r="B200" s="462"/>
      <c r="C200" s="461"/>
      <c r="D200" s="462"/>
      <c r="E200" s="463"/>
      <c r="F200" s="463"/>
      <c r="G200" s="463"/>
      <c r="H200" s="463"/>
      <c r="I200" s="463"/>
      <c r="J200" s="463"/>
      <c r="K200" s="463"/>
      <c r="L200" s="463"/>
      <c r="M200" s="463"/>
      <c r="N200" s="463"/>
      <c r="O200" s="463"/>
      <c r="P200" s="463"/>
      <c r="Q200" s="463"/>
      <c r="R200" s="463"/>
    </row>
    <row r="201" spans="1:18">
      <c r="A201" s="462"/>
      <c r="B201" s="462"/>
      <c r="C201" s="460"/>
      <c r="D201" s="462"/>
      <c r="E201" s="463"/>
      <c r="F201" s="463"/>
      <c r="G201" s="463"/>
      <c r="H201" s="463"/>
      <c r="I201" s="463"/>
      <c r="J201" s="463"/>
      <c r="K201" s="463"/>
      <c r="L201" s="463"/>
      <c r="M201" s="463"/>
      <c r="N201" s="463"/>
      <c r="O201" s="463"/>
      <c r="P201" s="463"/>
      <c r="Q201" s="463"/>
      <c r="R201" s="463"/>
    </row>
    <row r="202" spans="1:18">
      <c r="A202" s="462"/>
      <c r="B202" s="462"/>
      <c r="C202" s="460"/>
      <c r="D202" s="462"/>
      <c r="E202" s="463"/>
      <c r="F202" s="463"/>
      <c r="G202" s="463"/>
      <c r="H202" s="463"/>
      <c r="I202" s="463"/>
      <c r="J202" s="463"/>
      <c r="K202" s="463"/>
      <c r="L202" s="463"/>
      <c r="M202" s="463"/>
      <c r="N202" s="463"/>
      <c r="O202" s="463"/>
      <c r="P202" s="463"/>
      <c r="Q202" s="463"/>
      <c r="R202" s="463"/>
    </row>
    <row r="203" spans="1:18">
      <c r="A203" s="462"/>
      <c r="B203" s="462"/>
      <c r="C203" s="461"/>
      <c r="D203" s="462"/>
      <c r="E203" s="463"/>
      <c r="F203" s="463"/>
      <c r="G203" s="463"/>
      <c r="H203" s="463"/>
      <c r="I203" s="463"/>
      <c r="J203" s="463"/>
      <c r="K203" s="463"/>
      <c r="L203" s="463"/>
      <c r="M203" s="463"/>
      <c r="N203" s="463"/>
      <c r="O203" s="463"/>
      <c r="P203" s="463"/>
      <c r="Q203" s="463"/>
      <c r="R203" s="463"/>
    </row>
    <row r="204" spans="1:18">
      <c r="A204" s="462"/>
      <c r="B204" s="462"/>
      <c r="C204" s="461"/>
      <c r="D204" s="462"/>
      <c r="E204" s="463"/>
      <c r="F204" s="463"/>
      <c r="G204" s="463"/>
      <c r="H204" s="463"/>
      <c r="I204" s="463"/>
      <c r="J204" s="463"/>
      <c r="K204" s="463"/>
      <c r="L204" s="463"/>
      <c r="M204" s="463"/>
      <c r="N204" s="463"/>
      <c r="O204" s="463"/>
      <c r="P204" s="463"/>
      <c r="Q204" s="463"/>
      <c r="R204" s="463"/>
    </row>
    <row r="205" spans="1:18">
      <c r="A205" s="462"/>
      <c r="B205" s="462"/>
      <c r="C205" s="460"/>
      <c r="D205" s="462"/>
      <c r="E205" s="463"/>
      <c r="F205" s="463"/>
      <c r="G205" s="463"/>
      <c r="H205" s="463"/>
      <c r="I205" s="463"/>
      <c r="J205" s="463"/>
      <c r="K205" s="463"/>
      <c r="L205" s="463"/>
      <c r="M205" s="463"/>
      <c r="N205" s="463"/>
      <c r="O205" s="463"/>
      <c r="P205" s="463"/>
      <c r="Q205" s="463"/>
      <c r="R205" s="463"/>
    </row>
    <row r="206" spans="1:18">
      <c r="A206" s="462"/>
      <c r="B206" s="462"/>
      <c r="C206" s="461"/>
      <c r="D206" s="462"/>
      <c r="E206" s="463"/>
      <c r="F206" s="463"/>
      <c r="G206" s="463"/>
      <c r="H206" s="463"/>
      <c r="I206" s="463"/>
      <c r="J206" s="463"/>
      <c r="K206" s="463"/>
      <c r="L206" s="463"/>
      <c r="M206" s="463"/>
      <c r="N206" s="463"/>
      <c r="O206" s="463"/>
      <c r="P206" s="463"/>
      <c r="Q206" s="463"/>
      <c r="R206" s="463"/>
    </row>
    <row r="207" spans="1:18">
      <c r="A207" s="462"/>
      <c r="B207" s="462"/>
      <c r="C207" s="460"/>
      <c r="D207" s="462"/>
      <c r="E207" s="463"/>
      <c r="F207" s="463"/>
      <c r="G207" s="463"/>
      <c r="H207" s="463"/>
      <c r="I207" s="463"/>
      <c r="J207" s="463"/>
      <c r="K207" s="463"/>
      <c r="L207" s="463"/>
      <c r="M207" s="463"/>
      <c r="N207" s="463"/>
      <c r="O207" s="463"/>
      <c r="P207" s="463"/>
      <c r="Q207" s="463"/>
      <c r="R207" s="463"/>
    </row>
    <row r="208" spans="1:18">
      <c r="A208" s="462"/>
      <c r="B208" s="462"/>
      <c r="C208" s="460"/>
      <c r="D208" s="462"/>
      <c r="E208" s="463"/>
      <c r="F208" s="463"/>
      <c r="G208" s="463"/>
      <c r="H208" s="463"/>
      <c r="I208" s="463"/>
      <c r="J208" s="463"/>
      <c r="K208" s="463"/>
      <c r="L208" s="463"/>
      <c r="M208" s="463"/>
      <c r="N208" s="463"/>
      <c r="O208" s="463"/>
      <c r="P208" s="463"/>
      <c r="Q208" s="463"/>
      <c r="R208" s="463"/>
    </row>
    <row r="209" spans="1:18">
      <c r="A209" s="462"/>
      <c r="B209" s="462"/>
      <c r="C209" s="461"/>
      <c r="D209" s="462"/>
      <c r="E209" s="463"/>
      <c r="F209" s="463"/>
      <c r="G209" s="463"/>
      <c r="H209" s="463"/>
      <c r="I209" s="463"/>
      <c r="J209" s="463"/>
      <c r="K209" s="463"/>
      <c r="L209" s="463"/>
      <c r="M209" s="463"/>
      <c r="N209" s="463"/>
      <c r="O209" s="463"/>
      <c r="P209" s="463"/>
      <c r="Q209" s="463"/>
      <c r="R209" s="463"/>
    </row>
    <row r="210" spans="1:18">
      <c r="A210" s="462"/>
      <c r="B210" s="462"/>
      <c r="C210" s="460"/>
      <c r="D210" s="462"/>
      <c r="E210" s="463"/>
      <c r="F210" s="463"/>
      <c r="G210" s="463"/>
      <c r="H210" s="463"/>
      <c r="I210" s="463"/>
      <c r="J210" s="463"/>
      <c r="K210" s="463"/>
      <c r="L210" s="463"/>
      <c r="M210" s="463"/>
      <c r="N210" s="463"/>
      <c r="O210" s="463"/>
      <c r="P210" s="463"/>
      <c r="Q210" s="463"/>
      <c r="R210" s="463"/>
    </row>
    <row r="211" spans="1:18">
      <c r="A211" s="462"/>
      <c r="B211" s="462"/>
      <c r="C211" s="460"/>
      <c r="D211" s="462"/>
      <c r="E211" s="463"/>
      <c r="F211" s="463"/>
      <c r="G211" s="463"/>
      <c r="H211" s="463"/>
      <c r="I211" s="463"/>
      <c r="J211" s="463"/>
      <c r="K211" s="463"/>
      <c r="L211" s="463"/>
      <c r="M211" s="463"/>
      <c r="N211" s="463"/>
      <c r="O211" s="463"/>
      <c r="P211" s="463"/>
      <c r="Q211" s="463"/>
      <c r="R211" s="463"/>
    </row>
    <row r="212" spans="1:18">
      <c r="A212" s="462"/>
      <c r="B212" s="462"/>
      <c r="C212" s="33"/>
      <c r="D212" s="462"/>
      <c r="E212" s="463"/>
      <c r="F212" s="463"/>
      <c r="G212" s="463"/>
      <c r="H212" s="463"/>
      <c r="I212" s="463"/>
      <c r="J212" s="463"/>
      <c r="K212" s="463"/>
      <c r="L212" s="463"/>
      <c r="M212" s="463"/>
      <c r="N212" s="463"/>
      <c r="O212" s="463"/>
      <c r="P212" s="463"/>
      <c r="Q212" s="463"/>
      <c r="R212" s="463"/>
    </row>
    <row r="213" spans="1:18">
      <c r="A213" s="462"/>
      <c r="B213" s="462"/>
      <c r="D213" s="462"/>
      <c r="E213" s="463"/>
      <c r="F213" s="463"/>
      <c r="G213" s="463"/>
      <c r="H213" s="463"/>
      <c r="I213" s="463"/>
      <c r="J213" s="463"/>
      <c r="K213" s="463"/>
      <c r="L213" s="463"/>
      <c r="M213" s="463"/>
      <c r="N213" s="463"/>
      <c r="O213" s="463"/>
      <c r="P213" s="463"/>
      <c r="Q213" s="463"/>
      <c r="R213" s="463"/>
    </row>
    <row r="214" spans="1:18">
      <c r="A214" s="462"/>
      <c r="B214" s="462"/>
      <c r="D214" s="462"/>
      <c r="E214" s="463"/>
      <c r="F214" s="463"/>
      <c r="G214" s="463"/>
      <c r="H214" s="463"/>
      <c r="I214" s="463"/>
      <c r="J214" s="463"/>
      <c r="K214" s="463"/>
      <c r="L214" s="463"/>
      <c r="M214" s="463"/>
      <c r="N214" s="463"/>
      <c r="O214" s="463"/>
      <c r="P214" s="463"/>
      <c r="Q214" s="463"/>
      <c r="R214" s="463"/>
    </row>
    <row r="215" spans="1:18">
      <c r="A215" s="462"/>
      <c r="B215" s="462"/>
      <c r="D215" s="462"/>
      <c r="E215" s="463"/>
      <c r="F215" s="463"/>
      <c r="G215" s="463"/>
      <c r="H215" s="463"/>
      <c r="I215" s="463"/>
      <c r="J215" s="463"/>
      <c r="K215" s="463"/>
      <c r="L215" s="463"/>
      <c r="M215" s="463"/>
      <c r="N215" s="463"/>
      <c r="O215" s="463"/>
      <c r="P215" s="463"/>
      <c r="Q215" s="463"/>
      <c r="R215" s="463"/>
    </row>
    <row r="216" spans="1:18">
      <c r="A216" s="462"/>
      <c r="B216" s="462"/>
      <c r="D216" s="462"/>
      <c r="E216" s="463"/>
      <c r="F216" s="463"/>
      <c r="G216" s="463"/>
      <c r="H216" s="463"/>
      <c r="I216" s="463"/>
      <c r="J216" s="463"/>
      <c r="K216" s="463"/>
      <c r="L216" s="463"/>
      <c r="M216" s="463"/>
      <c r="N216" s="463"/>
      <c r="O216" s="463"/>
      <c r="P216" s="463"/>
      <c r="Q216" s="463"/>
      <c r="R216" s="463"/>
    </row>
    <row r="217" spans="1:18">
      <c r="A217" s="462"/>
      <c r="B217" s="462"/>
      <c r="D217" s="462"/>
      <c r="E217" s="463"/>
      <c r="F217" s="463"/>
      <c r="G217" s="463"/>
      <c r="H217" s="463"/>
      <c r="I217" s="463"/>
      <c r="J217" s="463"/>
      <c r="K217" s="463"/>
      <c r="L217" s="463"/>
      <c r="M217" s="463"/>
      <c r="N217" s="463"/>
      <c r="O217" s="463"/>
      <c r="P217" s="463"/>
      <c r="Q217" s="463"/>
      <c r="R217" s="463"/>
    </row>
    <row r="218" spans="1:18">
      <c r="A218" s="462"/>
      <c r="B218" s="462"/>
      <c r="D218" s="462"/>
      <c r="E218" s="463"/>
      <c r="F218" s="463"/>
      <c r="G218" s="463"/>
      <c r="H218" s="463"/>
      <c r="I218" s="463"/>
      <c r="J218" s="463"/>
      <c r="K218" s="463"/>
      <c r="L218" s="463"/>
      <c r="M218" s="463"/>
      <c r="N218" s="463"/>
      <c r="O218" s="463"/>
      <c r="P218" s="463"/>
      <c r="Q218" s="463"/>
      <c r="R218" s="463"/>
    </row>
    <row r="219" spans="1:18">
      <c r="A219" s="462"/>
      <c r="B219" s="462"/>
      <c r="D219" s="462"/>
      <c r="E219" s="463"/>
      <c r="F219" s="463"/>
      <c r="G219" s="463"/>
      <c r="H219" s="463"/>
      <c r="I219" s="463"/>
      <c r="J219" s="463"/>
      <c r="K219" s="463"/>
      <c r="L219" s="463"/>
      <c r="M219" s="463"/>
      <c r="N219" s="463"/>
      <c r="O219" s="463"/>
      <c r="P219" s="463"/>
      <c r="Q219" s="463"/>
      <c r="R219" s="463"/>
    </row>
    <row r="220" spans="1:18">
      <c r="A220" s="462"/>
      <c r="B220" s="462"/>
      <c r="D220" s="462"/>
      <c r="E220" s="463"/>
      <c r="F220" s="463"/>
      <c r="G220" s="463"/>
      <c r="H220" s="463"/>
      <c r="I220" s="463"/>
      <c r="J220" s="463"/>
      <c r="K220" s="463"/>
      <c r="L220" s="463"/>
      <c r="M220" s="463"/>
      <c r="N220" s="463"/>
      <c r="O220" s="463"/>
      <c r="P220" s="463"/>
      <c r="Q220" s="463"/>
      <c r="R220" s="463"/>
    </row>
    <row r="221" spans="1:18">
      <c r="A221" s="462"/>
      <c r="B221" s="462"/>
      <c r="D221" s="462"/>
      <c r="E221" s="463"/>
      <c r="F221" s="463"/>
      <c r="G221" s="463"/>
      <c r="H221" s="463"/>
      <c r="I221" s="463"/>
      <c r="J221" s="463"/>
      <c r="K221" s="463"/>
      <c r="L221" s="463"/>
      <c r="M221" s="463"/>
      <c r="N221" s="463"/>
      <c r="O221" s="463"/>
      <c r="P221" s="463"/>
      <c r="Q221" s="463"/>
      <c r="R221" s="463"/>
    </row>
    <row r="222" spans="1:18">
      <c r="A222" s="462"/>
      <c r="B222" s="462"/>
      <c r="D222" s="462"/>
      <c r="E222" s="463"/>
      <c r="F222" s="463"/>
      <c r="G222" s="463"/>
      <c r="H222" s="463"/>
      <c r="I222" s="463"/>
      <c r="J222" s="463"/>
      <c r="K222" s="463"/>
      <c r="L222" s="463"/>
      <c r="M222" s="463"/>
      <c r="N222" s="463"/>
      <c r="O222" s="463"/>
      <c r="P222" s="463"/>
      <c r="Q222" s="463"/>
      <c r="R222" s="463"/>
    </row>
    <row r="223" spans="1:18">
      <c r="A223" s="462"/>
      <c r="B223" s="462"/>
      <c r="D223" s="462"/>
      <c r="E223" s="463"/>
      <c r="F223" s="463"/>
      <c r="G223" s="463"/>
      <c r="H223" s="463"/>
      <c r="I223" s="463"/>
      <c r="J223" s="463"/>
      <c r="K223" s="463"/>
      <c r="L223" s="463"/>
      <c r="M223" s="463"/>
      <c r="N223" s="463"/>
      <c r="O223" s="463"/>
      <c r="P223" s="463"/>
      <c r="Q223" s="463"/>
      <c r="R223" s="463"/>
    </row>
    <row r="224" spans="1:18">
      <c r="A224" s="462"/>
      <c r="B224" s="462"/>
      <c r="D224" s="462"/>
      <c r="E224" s="463"/>
      <c r="F224" s="463"/>
      <c r="G224" s="463"/>
      <c r="H224" s="463"/>
      <c r="I224" s="463"/>
      <c r="J224" s="463"/>
      <c r="K224" s="463"/>
      <c r="L224" s="463"/>
      <c r="M224" s="463"/>
      <c r="N224" s="463"/>
      <c r="O224" s="463"/>
      <c r="P224" s="463"/>
      <c r="Q224" s="463"/>
      <c r="R224" s="463"/>
    </row>
    <row r="225" spans="1:18">
      <c r="A225" s="462"/>
      <c r="B225" s="462"/>
      <c r="D225" s="462"/>
      <c r="E225" s="463"/>
      <c r="F225" s="463"/>
      <c r="G225" s="463"/>
      <c r="H225" s="463"/>
      <c r="I225" s="463"/>
      <c r="J225" s="463"/>
      <c r="K225" s="463"/>
      <c r="L225" s="463"/>
      <c r="M225" s="463"/>
      <c r="N225" s="463"/>
      <c r="O225" s="463"/>
      <c r="P225" s="463"/>
      <c r="Q225" s="463"/>
      <c r="R225" s="463"/>
    </row>
    <row r="226" spans="1:18">
      <c r="A226" s="462"/>
      <c r="B226" s="462"/>
      <c r="D226" s="462"/>
      <c r="E226" s="463"/>
      <c r="F226" s="463"/>
      <c r="G226" s="463"/>
      <c r="H226" s="463"/>
      <c r="I226" s="463"/>
      <c r="J226" s="463"/>
      <c r="K226" s="463"/>
      <c r="L226" s="463"/>
      <c r="M226" s="463"/>
      <c r="N226" s="463"/>
      <c r="O226" s="463"/>
      <c r="P226" s="463"/>
      <c r="Q226" s="463"/>
      <c r="R226" s="463"/>
    </row>
    <row r="227" spans="1:18">
      <c r="A227" s="462"/>
      <c r="B227" s="462"/>
      <c r="D227" s="462"/>
      <c r="E227" s="463"/>
      <c r="F227" s="463"/>
      <c r="G227" s="463"/>
      <c r="H227" s="463"/>
      <c r="I227" s="463"/>
      <c r="J227" s="463"/>
      <c r="K227" s="463"/>
      <c r="L227" s="463"/>
      <c r="M227" s="463"/>
      <c r="N227" s="463"/>
      <c r="O227" s="463"/>
      <c r="P227" s="463"/>
      <c r="Q227" s="463"/>
      <c r="R227" s="463"/>
    </row>
    <row r="228" spans="1:18">
      <c r="A228" s="462"/>
      <c r="B228" s="462"/>
      <c r="D228" s="462"/>
      <c r="E228" s="463"/>
      <c r="F228" s="463"/>
      <c r="G228" s="463"/>
      <c r="H228" s="463"/>
      <c r="I228" s="463"/>
      <c r="J228" s="463"/>
      <c r="K228" s="463"/>
      <c r="L228" s="463"/>
      <c r="M228" s="463"/>
      <c r="N228" s="463"/>
      <c r="O228" s="463"/>
      <c r="P228" s="463"/>
      <c r="Q228" s="463"/>
      <c r="R228" s="463"/>
    </row>
    <row r="229" spans="1:18">
      <c r="A229" s="462"/>
      <c r="B229" s="462"/>
      <c r="D229" s="462"/>
      <c r="E229" s="463"/>
      <c r="F229" s="463"/>
      <c r="G229" s="463"/>
      <c r="H229" s="463"/>
      <c r="I229" s="463"/>
      <c r="J229" s="463"/>
      <c r="K229" s="463"/>
      <c r="L229" s="463"/>
      <c r="M229" s="463"/>
      <c r="N229" s="463"/>
      <c r="O229" s="463"/>
      <c r="P229" s="463"/>
      <c r="Q229" s="463"/>
      <c r="R229" s="463"/>
    </row>
    <row r="230" spans="1:18">
      <c r="A230" s="462"/>
      <c r="B230" s="462"/>
      <c r="D230" s="462"/>
      <c r="E230" s="463"/>
      <c r="F230" s="463"/>
      <c r="G230" s="463"/>
      <c r="H230" s="463"/>
      <c r="I230" s="463"/>
      <c r="J230" s="463"/>
      <c r="K230" s="463"/>
      <c r="L230" s="463"/>
      <c r="M230" s="463"/>
      <c r="N230" s="463"/>
      <c r="O230" s="463"/>
      <c r="P230" s="463"/>
      <c r="Q230" s="463"/>
      <c r="R230" s="463"/>
    </row>
    <row r="231" spans="1:18">
      <c r="A231" s="462"/>
      <c r="B231" s="462"/>
      <c r="D231" s="462"/>
      <c r="E231" s="463"/>
      <c r="F231" s="463"/>
      <c r="G231" s="463"/>
      <c r="H231" s="463"/>
      <c r="I231" s="463"/>
      <c r="J231" s="463"/>
      <c r="K231" s="463"/>
      <c r="L231" s="463"/>
      <c r="M231" s="463"/>
      <c r="N231" s="463"/>
      <c r="O231" s="463"/>
      <c r="P231" s="463"/>
      <c r="Q231" s="463"/>
      <c r="R231" s="463"/>
    </row>
    <row r="232" spans="1:18">
      <c r="A232" s="462"/>
      <c r="B232" s="462"/>
      <c r="D232" s="462"/>
      <c r="E232" s="463"/>
      <c r="F232" s="463"/>
      <c r="G232" s="463"/>
      <c r="H232" s="463"/>
      <c r="I232" s="463"/>
      <c r="J232" s="463"/>
      <c r="K232" s="463"/>
      <c r="L232" s="463"/>
      <c r="M232" s="463"/>
      <c r="N232" s="463"/>
      <c r="O232" s="463"/>
      <c r="P232" s="463"/>
      <c r="Q232" s="463"/>
      <c r="R232" s="463"/>
    </row>
    <row r="233" spans="1:18">
      <c r="A233" s="462"/>
      <c r="B233" s="462"/>
      <c r="D233" s="462"/>
      <c r="E233" s="463"/>
      <c r="F233" s="463"/>
      <c r="G233" s="463"/>
      <c r="H233" s="463"/>
      <c r="I233" s="463"/>
      <c r="J233" s="463"/>
      <c r="K233" s="463"/>
      <c r="L233" s="463"/>
      <c r="M233" s="463"/>
      <c r="N233" s="463"/>
      <c r="O233" s="463"/>
      <c r="P233" s="463"/>
      <c r="Q233" s="463"/>
      <c r="R233" s="463"/>
    </row>
    <row r="234" spans="1:18">
      <c r="A234" s="462"/>
      <c r="B234" s="462"/>
      <c r="D234" s="462"/>
      <c r="E234" s="463"/>
      <c r="F234" s="463"/>
      <c r="G234" s="463"/>
      <c r="H234" s="463"/>
      <c r="I234" s="463"/>
      <c r="J234" s="463"/>
      <c r="K234" s="463"/>
      <c r="L234" s="463"/>
      <c r="M234" s="463"/>
      <c r="N234" s="463"/>
      <c r="O234" s="463"/>
      <c r="P234" s="463"/>
      <c r="Q234" s="463"/>
      <c r="R234" s="463"/>
    </row>
  </sheetData>
  <sortState xmlns:xlrd2="http://schemas.microsoft.com/office/spreadsheetml/2017/richdata2" ref="C111:C212">
    <sortCondition ref="C111:C212"/>
  </sortState>
  <mergeCells count="9">
    <mergeCell ref="CB42:CE42"/>
    <mergeCell ref="Z11:AA11"/>
    <mergeCell ref="T1:AE1"/>
    <mergeCell ref="AF1:AK1"/>
    <mergeCell ref="AM1:CW1"/>
    <mergeCell ref="CP11:CT11"/>
    <mergeCell ref="CX11:DB11"/>
    <mergeCell ref="AH11:AI11"/>
    <mergeCell ref="CB11:CE11"/>
  </mergeCells>
  <phoneticPr fontId="1" type="noConversion"/>
  <conditionalFormatting sqref="AT12:AT75">
    <cfRule type="cellIs" dxfId="2" priority="2" operator="equal">
      <formula>"Or"</formula>
    </cfRule>
    <cfRule type="cellIs" dxfId="1" priority="3" operator="equal">
      <formula>"Bronze"</formula>
    </cfRule>
  </conditionalFormatting>
  <conditionalFormatting sqref="AT13:AT75">
    <cfRule type="cellIs" dxfId="0" priority="1" operator="equal">
      <formula>"Argent"</formula>
    </cfRule>
  </conditionalFormatting>
  <pageMargins left="0.7" right="0.7" top="0.75" bottom="0.75" header="0.3" footer="0.3"/>
  <pageSetup paperSize="9" orientation="portrait" horizontalDpi="4294967293" verticalDpi="0" r:id="rId1"/>
  <ignoredErrors>
    <ignoredError sqref="CF43:CF67"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686B12-17BE-4E22-B654-CE2B06BE7E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Feuille Personnage</vt:lpstr>
      <vt:lpstr>Final</vt:lpstr>
      <vt:lpstr>Caracteristique</vt:lpstr>
      <vt:lpstr>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Roussy</dc:creator>
  <cp:lastModifiedBy>Romain Roussy</cp:lastModifiedBy>
  <dcterms:created xsi:type="dcterms:W3CDTF">2022-05-11T17:14:00Z</dcterms:created>
  <dcterms:modified xsi:type="dcterms:W3CDTF">2022-07-09T15:28:03Z</dcterms:modified>
</cp:coreProperties>
</file>